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tbl2005AirNav" sheetId="1" r:id="rId1"/>
  </sheets>
  <definedNames/>
  <calcPr fullCalcOnLoad="1"/>
</workbook>
</file>

<file path=xl/sharedStrings.xml><?xml version="1.0" encoding="utf-8"?>
<sst xmlns="http://schemas.openxmlformats.org/spreadsheetml/2006/main" count="510" uniqueCount="221">
  <si>
    <t>strCounty</t>
  </si>
  <si>
    <t>strCounty_No</t>
  </si>
  <si>
    <t>lngEISLocationID</t>
  </si>
  <si>
    <t>strStateCountyFIPs</t>
  </si>
  <si>
    <t>strSourceName</t>
  </si>
  <si>
    <t>BAKER</t>
  </si>
  <si>
    <t>01</t>
  </si>
  <si>
    <t>41001</t>
  </si>
  <si>
    <t>Baker City Municipal Airport</t>
  </si>
  <si>
    <t>BENTON</t>
  </si>
  <si>
    <t>02</t>
  </si>
  <si>
    <t>41003</t>
  </si>
  <si>
    <t>Corvallis Municipal Airport</t>
  </si>
  <si>
    <t>CLACKAMAS</t>
  </si>
  <si>
    <t>03</t>
  </si>
  <si>
    <t>41005</t>
  </si>
  <si>
    <t>Country Squire Airpark Airport, Sandy</t>
  </si>
  <si>
    <t>Sandy River Airport, Sandy</t>
  </si>
  <si>
    <t>Portland-Mulino Airport</t>
  </si>
  <si>
    <t>Lenhardt Airpark Airport, Hubbard</t>
  </si>
  <si>
    <t>Valley View Airport, Estacada</t>
  </si>
  <si>
    <t>CLATSOP</t>
  </si>
  <si>
    <t>04</t>
  </si>
  <si>
    <t>41007</t>
  </si>
  <si>
    <t>Astoria Regional Airport</t>
  </si>
  <si>
    <t>Seaside Municipal Airport</t>
  </si>
  <si>
    <t>COLUMBIA</t>
  </si>
  <si>
    <t>05</t>
  </si>
  <si>
    <t>41009</t>
  </si>
  <si>
    <t>Vernonia Airfield Airport</t>
  </si>
  <si>
    <t>Scappoose Industrial Airpark Airport</t>
  </si>
  <si>
    <t>COOS</t>
  </si>
  <si>
    <t>06</t>
  </si>
  <si>
    <t>41011</t>
  </si>
  <si>
    <t>Bandon State Airport</t>
  </si>
  <si>
    <t>Powers State Airport</t>
  </si>
  <si>
    <t>CROOK</t>
  </si>
  <si>
    <t>07</t>
  </si>
  <si>
    <t>41013</t>
  </si>
  <si>
    <t>Prineville Airport</t>
  </si>
  <si>
    <t>CURRY</t>
  </si>
  <si>
    <t>08</t>
  </si>
  <si>
    <t>41015</t>
  </si>
  <si>
    <t>Cape Blanco State Airport, Denmark</t>
  </si>
  <si>
    <t>Gold Beach Municipal Airport</t>
  </si>
  <si>
    <t>Brookings State Airport</t>
  </si>
  <si>
    <t>DESCHUTES</t>
  </si>
  <si>
    <t>09</t>
  </si>
  <si>
    <t>41017</t>
  </si>
  <si>
    <t>Bend Municipal Airport</t>
  </si>
  <si>
    <t>Sunriver Airport</t>
  </si>
  <si>
    <t>Roberts Field Airport, Redmond</t>
  </si>
  <si>
    <t>Sisters Eagle Air Airport</t>
  </si>
  <si>
    <t>DOUGLAS</t>
  </si>
  <si>
    <t>10</t>
  </si>
  <si>
    <t>41019</t>
  </si>
  <si>
    <t>George Felt Airport, Roseburg</t>
  </si>
  <si>
    <t>Toketee State Airport, Clearwater</t>
  </si>
  <si>
    <t>Roseburg Regional Airport</t>
  </si>
  <si>
    <t>Myrtle Creek Municipal Airport</t>
  </si>
  <si>
    <t>Lakeside State Airport</t>
  </si>
  <si>
    <t>GILLIAM</t>
  </si>
  <si>
    <t>11</t>
  </si>
  <si>
    <t>41021</t>
  </si>
  <si>
    <t>Arlington Municipal Airport</t>
  </si>
  <si>
    <t>Condon State Pauling Field Airport</t>
  </si>
  <si>
    <t>GRANT</t>
  </si>
  <si>
    <t>12</t>
  </si>
  <si>
    <t>41023</t>
  </si>
  <si>
    <t>Grant Co Regional/Ogilvie Field Airport, John Day</t>
  </si>
  <si>
    <t>Monument Municipal Airport</t>
  </si>
  <si>
    <t>HARNEY</t>
  </si>
  <si>
    <t>13</t>
  </si>
  <si>
    <t>41025</t>
  </si>
  <si>
    <t>Burns Municipal Airport</t>
  </si>
  <si>
    <t>HOOD RIVER</t>
  </si>
  <si>
    <t>14</t>
  </si>
  <si>
    <t>41027</t>
  </si>
  <si>
    <t>Cascade Locks State Airport</t>
  </si>
  <si>
    <t>JACKSON</t>
  </si>
  <si>
    <t>15</t>
  </si>
  <si>
    <t>41029</t>
  </si>
  <si>
    <t>Rogue Valley International</t>
  </si>
  <si>
    <t>Prospect State Airport</t>
  </si>
  <si>
    <t>Pinehurst State Airport</t>
  </si>
  <si>
    <t>Ashland Municipal-Sumner Parker Field Airport</t>
  </si>
  <si>
    <t>JEFFERSON</t>
  </si>
  <si>
    <t>16</t>
  </si>
  <si>
    <t>41031</t>
  </si>
  <si>
    <t>Lake Billy Chinook State Airport, Culver</t>
  </si>
  <si>
    <t>City-County Airport, Madras</t>
  </si>
  <si>
    <t>JOSEPHINE</t>
  </si>
  <si>
    <t>17</t>
  </si>
  <si>
    <t>41033</t>
  </si>
  <si>
    <t>Grants Pass Airport</t>
  </si>
  <si>
    <t>Illinois Valley Airport, Cave Junction</t>
  </si>
  <si>
    <t>KLAMATH</t>
  </si>
  <si>
    <t>18</t>
  </si>
  <si>
    <t>41035</t>
  </si>
  <si>
    <t>Chiloquin State Airport</t>
  </si>
  <si>
    <t>Malin Airport</t>
  </si>
  <si>
    <t>Klamath Fall International</t>
  </si>
  <si>
    <t>Beaver Marsh State Airport</t>
  </si>
  <si>
    <t>Crescent Lake State Airport</t>
  </si>
  <si>
    <t>LAKE</t>
  </si>
  <si>
    <t>19</t>
  </si>
  <si>
    <t>41037</t>
  </si>
  <si>
    <t>Paisley State Airport</t>
  </si>
  <si>
    <t>Alkali Lake State Airport</t>
  </si>
  <si>
    <t>Lake County Airport, Lakeview</t>
  </si>
  <si>
    <t>Silver Lake F S Strip Airport</t>
  </si>
  <si>
    <t>Christmas Valley Airport</t>
  </si>
  <si>
    <t>LANE</t>
  </si>
  <si>
    <t>20</t>
  </si>
  <si>
    <t>41039</t>
  </si>
  <si>
    <t>Hobby Field Airport, Creswell</t>
  </si>
  <si>
    <t>Mahlon Sweet Field (Eug)</t>
  </si>
  <si>
    <t>Oakridge State Airport</t>
  </si>
  <si>
    <t>Cottage Grove State Airport</t>
  </si>
  <si>
    <t>Lake Woahink Seaplane Base, Florence</t>
  </si>
  <si>
    <t>Florence Municipal Airport</t>
  </si>
  <si>
    <t>Mc Kenzie Bridge State Airport</t>
  </si>
  <si>
    <t>LINCOLN</t>
  </si>
  <si>
    <t>21</t>
  </si>
  <si>
    <t>41041</t>
  </si>
  <si>
    <t>Wakonda Beach State Airport, Waldport</t>
  </si>
  <si>
    <t>Newport Municipal Airport</t>
  </si>
  <si>
    <t>Siletz Bay State Airport, Gleneden Beach</t>
  </si>
  <si>
    <t>Toledo State Airport</t>
  </si>
  <si>
    <t>LINN</t>
  </si>
  <si>
    <t>22</t>
  </si>
  <si>
    <t>41043</t>
  </si>
  <si>
    <t>Lebanon State Airport</t>
  </si>
  <si>
    <t>Albany Municipal Airport</t>
  </si>
  <si>
    <t>Santiam Junction State Airport</t>
  </si>
  <si>
    <t>MALHEUR</t>
  </si>
  <si>
    <t>23</t>
  </si>
  <si>
    <t>41045</t>
  </si>
  <si>
    <t>Owyhee Reservoir State Airport</t>
  </si>
  <si>
    <t>Ontario Municipal Airport</t>
  </si>
  <si>
    <t>Mc Dermitt State Airport</t>
  </si>
  <si>
    <t>Miller Memorial Airpark Airport, Vale</t>
  </si>
  <si>
    <t>Rome State Airport</t>
  </si>
  <si>
    <t>MARION</t>
  </si>
  <si>
    <t>24</t>
  </si>
  <si>
    <t>41047</t>
  </si>
  <si>
    <t>Aurora State Airport</t>
  </si>
  <si>
    <t>Davis Airport, Gates</t>
  </si>
  <si>
    <t>McNary Field (Salem)</t>
  </si>
  <si>
    <t>MORROW</t>
  </si>
  <si>
    <t>25</t>
  </si>
  <si>
    <t>41049</t>
  </si>
  <si>
    <t>Boardman Airport</t>
  </si>
  <si>
    <t>Lexington Airport</t>
  </si>
  <si>
    <t>MULTNOMAH</t>
  </si>
  <si>
    <t>26</t>
  </si>
  <si>
    <t>41051</t>
  </si>
  <si>
    <t>Portland International</t>
  </si>
  <si>
    <t>Portland Downtown Heliport</t>
  </si>
  <si>
    <t>Troutdale Airport</t>
  </si>
  <si>
    <t>POLK</t>
  </si>
  <si>
    <t>27</t>
  </si>
  <si>
    <t>41053</t>
  </si>
  <si>
    <t>Independence State Airport</t>
  </si>
  <si>
    <t>SHERMAN</t>
  </si>
  <si>
    <t>28</t>
  </si>
  <si>
    <t>41055</t>
  </si>
  <si>
    <t>Wasco State Airport</t>
  </si>
  <si>
    <t>TILLAMOOK</t>
  </si>
  <si>
    <t>29</t>
  </si>
  <si>
    <t>41057</t>
  </si>
  <si>
    <t>Tillamook Airport</t>
  </si>
  <si>
    <t>Nehalem Bay State Airport, Manzanita</t>
  </si>
  <si>
    <t>Pacific City State Airport</t>
  </si>
  <si>
    <t>UMATILLA</t>
  </si>
  <si>
    <t>30</t>
  </si>
  <si>
    <t>41059</t>
  </si>
  <si>
    <t>Eastern Regional Airport</t>
  </si>
  <si>
    <t>Hermiston Municipal Airport</t>
  </si>
  <si>
    <t>UNION</t>
  </si>
  <si>
    <t>31</t>
  </si>
  <si>
    <t>41061</t>
  </si>
  <si>
    <t>La Grande/Union County Airport</t>
  </si>
  <si>
    <t>WALLOWA</t>
  </si>
  <si>
    <t>32</t>
  </si>
  <si>
    <t>41063</t>
  </si>
  <si>
    <t>Memaloose Airport, Imnaha</t>
  </si>
  <si>
    <t>Joseph State Airport</t>
  </si>
  <si>
    <t>Enterprise Municipal Airport</t>
  </si>
  <si>
    <t>WASCO</t>
  </si>
  <si>
    <t>33</t>
  </si>
  <si>
    <t>41065</t>
  </si>
  <si>
    <t>Columbia Gorge/The Dalles Airport</t>
  </si>
  <si>
    <t>WASHINGTON</t>
  </si>
  <si>
    <t>34</t>
  </si>
  <si>
    <t>41067</t>
  </si>
  <si>
    <t>Stark?s Twin Oaks Airpark Airport, Hillsboro</t>
  </si>
  <si>
    <t>Hillsboro Airport</t>
  </si>
  <si>
    <t>Skyport Airport, Cornelius</t>
  </si>
  <si>
    <t>YAMHILL</t>
  </si>
  <si>
    <t>36</t>
  </si>
  <si>
    <t>41071</t>
  </si>
  <si>
    <t>Sheridan Airport</t>
  </si>
  <si>
    <t>Sportsman Airpark Airport, Newberg</t>
  </si>
  <si>
    <t>McMinnville Municipal Airport</t>
  </si>
  <si>
    <t>Chehalem Airpark Airport, Newberg</t>
  </si>
  <si>
    <t>SE</t>
  </si>
  <si>
    <t>ME</t>
  </si>
  <si>
    <t>MIL_A</t>
  </si>
  <si>
    <t>HE</t>
  </si>
  <si>
    <t>UL</t>
  </si>
  <si>
    <t>J</t>
  </si>
  <si>
    <t>Siltcoos Lake Seaplane Base</t>
  </si>
  <si>
    <t>Hood River Airport (Ken Jarnstedt AP)</t>
  </si>
  <si>
    <t>North Bend Municipal Airport (Southwest OR Reg. AP)</t>
  </si>
  <si>
    <t>GA_OPS</t>
  </si>
  <si>
    <t>AT_OPS</t>
  </si>
  <si>
    <t>MIL_OPS</t>
  </si>
  <si>
    <t>C_OPS</t>
  </si>
  <si>
    <t>DataSource</t>
  </si>
  <si>
    <t>AirNAV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</si>
</sst>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55" applyFont="1" applyFill="1" applyBorder="1" applyAlignment="1">
      <alignment/>
      <protection/>
    </xf>
    <xf numFmtId="0" fontId="1" fillId="0" borderId="10" xfId="55" applyFont="1" applyFill="1" applyBorder="1" applyAlignment="1">
      <alignment horizontal="right"/>
      <protection/>
    </xf>
    <xf numFmtId="0" fontId="1" fillId="33" borderId="11" xfId="55" applyFont="1" applyFill="1" applyBorder="1" applyAlignment="1">
      <alignment horizontal="left"/>
      <protection/>
    </xf>
    <xf numFmtId="0" fontId="1" fillId="33" borderId="11" xfId="55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1" fillId="0" borderId="12" xfId="55" applyFont="1" applyFill="1" applyBorder="1" applyAlignment="1">
      <alignment/>
      <protection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0" xfId="55" applyNumberFormat="1" applyFont="1" applyFill="1" applyBorder="1" applyAlignment="1">
      <alignment/>
      <protection/>
    </xf>
    <xf numFmtId="3" fontId="0" fillId="34" borderId="10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1" fillId="33" borderId="15" xfId="55" applyFont="1" applyFill="1" applyBorder="1" applyAlignment="1">
      <alignment horizontal="left"/>
      <protection/>
    </xf>
    <xf numFmtId="0" fontId="1" fillId="0" borderId="13" xfId="55" applyFont="1" applyFill="1" applyBorder="1" applyAlignment="1">
      <alignment/>
      <protection/>
    </xf>
    <xf numFmtId="0" fontId="1" fillId="35" borderId="13" xfId="55" applyFont="1" applyFill="1" applyBorder="1" applyAlignment="1">
      <alignment/>
      <protection/>
    </xf>
    <xf numFmtId="0" fontId="1" fillId="33" borderId="10" xfId="55" applyFont="1" applyFill="1" applyBorder="1" applyAlignment="1">
      <alignment horizontal="right"/>
      <protection/>
    </xf>
    <xf numFmtId="0" fontId="1" fillId="33" borderId="16" xfId="55" applyFont="1" applyFill="1" applyBorder="1" applyAlignment="1">
      <alignment horizontal="right"/>
      <protection/>
    </xf>
    <xf numFmtId="0" fontId="1" fillId="35" borderId="10" xfId="55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7109375" style="0" bestFit="1" customWidth="1"/>
    <col min="3" max="3" width="12.28125" style="0" bestFit="1" customWidth="1"/>
    <col min="4" max="4" width="15.28125" style="0" bestFit="1" customWidth="1"/>
    <col min="5" max="5" width="17.57421875" style="0" bestFit="1" customWidth="1"/>
    <col min="6" max="6" width="42.7109375" style="0" bestFit="1" customWidth="1"/>
  </cols>
  <sheetData>
    <row r="1" spans="1:16" ht="12.75">
      <c r="A1" s="3" t="s">
        <v>219</v>
      </c>
      <c r="B1" s="3" t="s">
        <v>0</v>
      </c>
      <c r="C1" s="3" t="s">
        <v>1</v>
      </c>
      <c r="D1" s="4" t="s">
        <v>2</v>
      </c>
      <c r="E1" s="3" t="s">
        <v>3</v>
      </c>
      <c r="F1" s="13" t="s">
        <v>4</v>
      </c>
      <c r="G1" s="16" t="s">
        <v>215</v>
      </c>
      <c r="H1" s="16" t="s">
        <v>216</v>
      </c>
      <c r="I1" s="16" t="s">
        <v>217</v>
      </c>
      <c r="J1" s="16" t="s">
        <v>218</v>
      </c>
      <c r="K1" s="16" t="s">
        <v>206</v>
      </c>
      <c r="L1" s="16" t="s">
        <v>207</v>
      </c>
      <c r="M1" s="16" t="s">
        <v>208</v>
      </c>
      <c r="N1" s="16" t="s">
        <v>211</v>
      </c>
      <c r="O1" s="16" t="s">
        <v>209</v>
      </c>
      <c r="P1" s="17" t="s">
        <v>210</v>
      </c>
    </row>
    <row r="2" spans="1:16" ht="12.75">
      <c r="A2" s="12" t="s">
        <v>220</v>
      </c>
      <c r="B2" s="1" t="s">
        <v>129</v>
      </c>
      <c r="C2" s="1" t="s">
        <v>130</v>
      </c>
      <c r="D2" s="2">
        <v>666046</v>
      </c>
      <c r="E2" s="1" t="s">
        <v>131</v>
      </c>
      <c r="F2" s="14" t="s">
        <v>133</v>
      </c>
      <c r="G2" s="7">
        <f>62*365*0.97</f>
        <v>21951.1</v>
      </c>
      <c r="H2" s="7">
        <f>62*365*0.03</f>
        <v>678.9</v>
      </c>
      <c r="I2" s="7"/>
      <c r="J2" s="7"/>
      <c r="K2" s="7">
        <v>69</v>
      </c>
      <c r="L2" s="7">
        <v>3</v>
      </c>
      <c r="M2" s="7"/>
      <c r="N2" s="7"/>
      <c r="O2" s="7"/>
      <c r="P2" s="8"/>
    </row>
    <row r="3" spans="1:16" ht="12.75">
      <c r="A3" s="5" t="s">
        <v>220</v>
      </c>
      <c r="B3" s="1" t="s">
        <v>104</v>
      </c>
      <c r="C3" s="1" t="s">
        <v>105</v>
      </c>
      <c r="D3" s="2">
        <v>664438</v>
      </c>
      <c r="E3" s="1" t="s">
        <v>106</v>
      </c>
      <c r="F3" s="14" t="s">
        <v>108</v>
      </c>
      <c r="G3" s="7">
        <v>100</v>
      </c>
      <c r="H3" s="7"/>
      <c r="I3" s="7"/>
      <c r="J3" s="7"/>
      <c r="K3" s="7"/>
      <c r="L3" s="7"/>
      <c r="M3" s="7"/>
      <c r="N3" s="7"/>
      <c r="O3" s="7"/>
      <c r="P3" s="8"/>
    </row>
    <row r="4" spans="1:16" ht="12.75">
      <c r="A4" s="5" t="s">
        <v>220</v>
      </c>
      <c r="B4" s="1" t="s">
        <v>61</v>
      </c>
      <c r="C4" s="1" t="s">
        <v>62</v>
      </c>
      <c r="D4" s="2">
        <v>665359</v>
      </c>
      <c r="E4" s="1" t="s">
        <v>63</v>
      </c>
      <c r="F4" s="14" t="s">
        <v>64</v>
      </c>
      <c r="G4" s="7">
        <f>84*12*0.99</f>
        <v>997.92</v>
      </c>
      <c r="H4" s="7">
        <f>84-12-0.01</f>
        <v>71.99</v>
      </c>
      <c r="I4" s="7"/>
      <c r="J4" s="7"/>
      <c r="K4" s="7">
        <v>1</v>
      </c>
      <c r="L4" s="7"/>
      <c r="M4" s="7"/>
      <c r="N4" s="7"/>
      <c r="O4" s="7"/>
      <c r="P4" s="8"/>
    </row>
    <row r="5" spans="1:16" ht="12.75">
      <c r="A5" s="5" t="s">
        <v>220</v>
      </c>
      <c r="B5" s="1" t="s">
        <v>79</v>
      </c>
      <c r="C5" s="1" t="s">
        <v>80</v>
      </c>
      <c r="D5" s="2">
        <v>666181</v>
      </c>
      <c r="E5" s="1" t="s">
        <v>81</v>
      </c>
      <c r="F5" s="14" t="s">
        <v>85</v>
      </c>
      <c r="G5" s="7">
        <f>71*(0.77+0.17)*365</f>
        <v>24360.100000000002</v>
      </c>
      <c r="H5" s="7">
        <f>71*0.6*365</f>
        <v>15549</v>
      </c>
      <c r="I5" s="7"/>
      <c r="J5" s="7"/>
      <c r="K5" s="7">
        <v>81</v>
      </c>
      <c r="L5" s="7">
        <v>5</v>
      </c>
      <c r="M5" s="7"/>
      <c r="N5" s="7"/>
      <c r="O5" s="7">
        <v>3</v>
      </c>
      <c r="P5" s="8">
        <v>3</v>
      </c>
    </row>
    <row r="6" spans="1:16" ht="12.75">
      <c r="A6" s="5" t="s">
        <v>220</v>
      </c>
      <c r="B6" s="1" t="s">
        <v>21</v>
      </c>
      <c r="C6" s="1" t="s">
        <v>22</v>
      </c>
      <c r="D6" s="2">
        <v>665591</v>
      </c>
      <c r="E6" s="1" t="s">
        <v>23</v>
      </c>
      <c r="F6" s="14" t="s">
        <v>24</v>
      </c>
      <c r="G6" s="7">
        <f>145*365*0.61</f>
        <v>32284.25</v>
      </c>
      <c r="H6" s="9">
        <f>145*365*0.02</f>
        <v>1058.5</v>
      </c>
      <c r="I6" s="7">
        <f>145*368*0.38</f>
        <v>20276.8</v>
      </c>
      <c r="J6" s="7"/>
      <c r="K6" s="7">
        <v>43</v>
      </c>
      <c r="L6" s="7">
        <v>5</v>
      </c>
      <c r="M6" s="7">
        <v>5</v>
      </c>
      <c r="N6" s="7"/>
      <c r="O6" s="7">
        <v>1</v>
      </c>
      <c r="P6" s="8">
        <v>2</v>
      </c>
    </row>
    <row r="7" spans="1:16" ht="12.75">
      <c r="A7" s="5" t="s">
        <v>220</v>
      </c>
      <c r="B7" s="1" t="s">
        <v>143</v>
      </c>
      <c r="C7" s="1" t="s">
        <v>144</v>
      </c>
      <c r="D7" s="2">
        <v>665381</v>
      </c>
      <c r="E7" s="1" t="s">
        <v>145</v>
      </c>
      <c r="F7" s="14" t="s">
        <v>146</v>
      </c>
      <c r="G7" s="7">
        <f>202*(0.53+0.38)*365</f>
        <v>67094.3</v>
      </c>
      <c r="H7" s="7">
        <f>202*365*0.08</f>
        <v>5898.400000000001</v>
      </c>
      <c r="I7" s="7"/>
      <c r="J7" s="7"/>
      <c r="K7" s="7">
        <v>363</v>
      </c>
      <c r="L7" s="7">
        <v>30</v>
      </c>
      <c r="M7" s="7"/>
      <c r="N7" s="7">
        <v>5</v>
      </c>
      <c r="O7" s="7">
        <v>34</v>
      </c>
      <c r="P7" s="8"/>
    </row>
    <row r="8" spans="1:16" ht="12.75">
      <c r="A8" s="5" t="s">
        <v>220</v>
      </c>
      <c r="B8" s="1" t="s">
        <v>5</v>
      </c>
      <c r="C8" s="1" t="s">
        <v>6</v>
      </c>
      <c r="D8" s="2">
        <v>664541</v>
      </c>
      <c r="E8" s="1" t="s">
        <v>7</v>
      </c>
      <c r="F8" s="14" t="s">
        <v>8</v>
      </c>
      <c r="G8" s="7">
        <f>44*365*(0.59+0.19)</f>
        <v>12526.800000000001</v>
      </c>
      <c r="H8" s="7">
        <f>44*365*0.22</f>
        <v>3533.2</v>
      </c>
      <c r="I8" s="7"/>
      <c r="J8" s="7"/>
      <c r="K8" s="7">
        <v>30</v>
      </c>
      <c r="L8" s="7">
        <v>2</v>
      </c>
      <c r="M8" s="7"/>
      <c r="N8" s="7"/>
      <c r="O8" s="7"/>
      <c r="P8" s="8">
        <v>5</v>
      </c>
    </row>
    <row r="9" spans="1:16" ht="12.75">
      <c r="A9" s="5" t="s">
        <v>220</v>
      </c>
      <c r="B9" s="1" t="s">
        <v>31</v>
      </c>
      <c r="C9" s="1" t="s">
        <v>32</v>
      </c>
      <c r="D9" s="2">
        <v>666391</v>
      </c>
      <c r="E9" s="1" t="s">
        <v>33</v>
      </c>
      <c r="F9" s="14" t="s">
        <v>34</v>
      </c>
      <c r="G9" s="7">
        <f>136*52*(0.49+0.42)</f>
        <v>6435.5199999999995</v>
      </c>
      <c r="H9" s="7">
        <f>136*52*(0.07)</f>
        <v>495.04</v>
      </c>
      <c r="I9" s="7">
        <f>136*52*(0.01)</f>
        <v>70.72</v>
      </c>
      <c r="J9" s="7"/>
      <c r="K9" s="7">
        <v>27</v>
      </c>
      <c r="L9" s="7">
        <v>4</v>
      </c>
      <c r="M9" s="7"/>
      <c r="N9" s="7"/>
      <c r="O9" s="7"/>
      <c r="P9" s="8"/>
    </row>
    <row r="10" spans="1:16" ht="12.75">
      <c r="A10" s="5" t="s">
        <v>220</v>
      </c>
      <c r="B10" s="1" t="s">
        <v>96</v>
      </c>
      <c r="C10" s="1" t="s">
        <v>97</v>
      </c>
      <c r="D10" s="2">
        <v>665968</v>
      </c>
      <c r="E10" s="1" t="s">
        <v>98</v>
      </c>
      <c r="F10" s="14" t="s">
        <v>102</v>
      </c>
      <c r="G10" s="7">
        <f>150</f>
        <v>150</v>
      </c>
      <c r="H10" s="7"/>
      <c r="I10" s="7"/>
      <c r="J10" s="7"/>
      <c r="K10" s="7"/>
      <c r="L10" s="7"/>
      <c r="M10" s="7"/>
      <c r="N10" s="7"/>
      <c r="O10" s="7"/>
      <c r="P10" s="8"/>
    </row>
    <row r="11" spans="1:16" ht="12.75">
      <c r="A11" s="5" t="s">
        <v>220</v>
      </c>
      <c r="B11" s="1" t="s">
        <v>46</v>
      </c>
      <c r="C11" s="1" t="s">
        <v>47</v>
      </c>
      <c r="D11" s="2">
        <v>665174</v>
      </c>
      <c r="E11" s="1" t="s">
        <v>48</v>
      </c>
      <c r="F11" s="14" t="s">
        <v>49</v>
      </c>
      <c r="G11" s="7">
        <f>110*365</f>
        <v>40150</v>
      </c>
      <c r="H11" s="7"/>
      <c r="I11" s="7"/>
      <c r="J11" s="7"/>
      <c r="K11" s="7">
        <v>145</v>
      </c>
      <c r="L11" s="7">
        <v>20</v>
      </c>
      <c r="M11" s="7"/>
      <c r="N11" s="7">
        <v>3</v>
      </c>
      <c r="O11" s="7">
        <v>4</v>
      </c>
      <c r="P11" s="8">
        <v>3</v>
      </c>
    </row>
    <row r="12" spans="1:16" ht="12.75">
      <c r="A12" s="5" t="s">
        <v>220</v>
      </c>
      <c r="B12" s="1" t="s">
        <v>149</v>
      </c>
      <c r="C12" s="1" t="s">
        <v>150</v>
      </c>
      <c r="D12" s="2">
        <v>664776</v>
      </c>
      <c r="E12" s="1" t="s">
        <v>151</v>
      </c>
      <c r="F12" s="14" t="s">
        <v>152</v>
      </c>
      <c r="G12" s="7">
        <f>29*52*0.97</f>
        <v>1462.76</v>
      </c>
      <c r="H12" s="7">
        <f>29*52*0.03</f>
        <v>45.239999999999995</v>
      </c>
      <c r="I12" s="7"/>
      <c r="J12" s="7"/>
      <c r="K12" s="7">
        <v>3</v>
      </c>
      <c r="L12" s="7"/>
      <c r="M12" s="7"/>
      <c r="N12" s="7"/>
      <c r="O12" s="7"/>
      <c r="P12" s="8"/>
    </row>
    <row r="13" spans="1:16" ht="12.75">
      <c r="A13" s="5" t="s">
        <v>220</v>
      </c>
      <c r="B13" s="1" t="s">
        <v>40</v>
      </c>
      <c r="C13" s="1" t="s">
        <v>41</v>
      </c>
      <c r="D13" s="2">
        <v>666278</v>
      </c>
      <c r="E13" s="1" t="s">
        <v>42</v>
      </c>
      <c r="F13" s="14" t="s">
        <v>45</v>
      </c>
      <c r="G13" s="7">
        <f>62*365*0.94</f>
        <v>21272.199999999997</v>
      </c>
      <c r="H13" s="7">
        <f>62*365*0.06</f>
        <v>1357.8</v>
      </c>
      <c r="I13" s="7"/>
      <c r="J13" s="7"/>
      <c r="K13" s="7">
        <v>23</v>
      </c>
      <c r="L13" s="7">
        <v>5</v>
      </c>
      <c r="M13" s="7"/>
      <c r="N13" s="7"/>
      <c r="O13" s="7">
        <v>1</v>
      </c>
      <c r="P13" s="8"/>
    </row>
    <row r="14" spans="1:16" ht="12.75">
      <c r="A14" s="5" t="s">
        <v>220</v>
      </c>
      <c r="B14" s="1" t="s">
        <v>71</v>
      </c>
      <c r="C14" s="1" t="s">
        <v>72</v>
      </c>
      <c r="D14" s="2">
        <v>665644</v>
      </c>
      <c r="E14" s="1" t="s">
        <v>73</v>
      </c>
      <c r="F14" s="14" t="s">
        <v>74</v>
      </c>
      <c r="G14" s="7">
        <f>22*365*(0.66+0.18)</f>
        <v>6745.200000000001</v>
      </c>
      <c r="H14" s="7">
        <f>22*365*0.15</f>
        <v>1204.5</v>
      </c>
      <c r="I14" s="7">
        <f>22*365*0.01</f>
        <v>80.3</v>
      </c>
      <c r="J14" s="7"/>
      <c r="K14" s="7">
        <v>20</v>
      </c>
      <c r="L14" s="7"/>
      <c r="M14" s="7"/>
      <c r="N14" s="7"/>
      <c r="O14" s="7"/>
      <c r="P14" s="8">
        <v>3</v>
      </c>
    </row>
    <row r="15" spans="1:16" ht="12.75">
      <c r="A15" s="5" t="s">
        <v>220</v>
      </c>
      <c r="B15" s="1" t="s">
        <v>40</v>
      </c>
      <c r="C15" s="1" t="s">
        <v>41</v>
      </c>
      <c r="D15" s="2">
        <v>664569</v>
      </c>
      <c r="E15" s="1" t="s">
        <v>42</v>
      </c>
      <c r="F15" s="15" t="s">
        <v>43</v>
      </c>
      <c r="G15" s="10">
        <f>56*12*0.92</f>
        <v>618.24</v>
      </c>
      <c r="H15" s="10">
        <f>56*12*0.07</f>
        <v>47.040000000000006</v>
      </c>
      <c r="I15" s="10"/>
      <c r="J15" s="10"/>
      <c r="K15" s="10">
        <v>4</v>
      </c>
      <c r="L15" s="10"/>
      <c r="M15" s="10"/>
      <c r="N15" s="10"/>
      <c r="O15" s="10"/>
      <c r="P15" s="11"/>
    </row>
    <row r="16" spans="1:16" ht="12.75">
      <c r="A16" s="5" t="s">
        <v>220</v>
      </c>
      <c r="B16" s="1" t="s">
        <v>75</v>
      </c>
      <c r="C16" s="1" t="s">
        <v>76</v>
      </c>
      <c r="D16" s="2">
        <v>665946</v>
      </c>
      <c r="E16" s="1" t="s">
        <v>77</v>
      </c>
      <c r="F16" s="14" t="s">
        <v>78</v>
      </c>
      <c r="G16" s="7">
        <f>29*52</f>
        <v>1508</v>
      </c>
      <c r="H16" s="7"/>
      <c r="I16" s="7"/>
      <c r="J16" s="7"/>
      <c r="K16" s="7"/>
      <c r="L16" s="7"/>
      <c r="M16" s="7"/>
      <c r="N16" s="7"/>
      <c r="O16" s="7"/>
      <c r="P16" s="8"/>
    </row>
    <row r="17" spans="1:16" ht="12.75">
      <c r="A17" s="5" t="s">
        <v>220</v>
      </c>
      <c r="B17" s="1" t="s">
        <v>199</v>
      </c>
      <c r="C17" s="1" t="s">
        <v>200</v>
      </c>
      <c r="D17" s="2">
        <v>665666</v>
      </c>
      <c r="E17" s="1" t="s">
        <v>201</v>
      </c>
      <c r="F17" s="14" t="s">
        <v>205</v>
      </c>
      <c r="G17" s="7">
        <f>31*365*0.95</f>
        <v>10749.25</v>
      </c>
      <c r="H17" s="7">
        <f>31*365*0.04</f>
        <v>452.6</v>
      </c>
      <c r="I17" s="7"/>
      <c r="J17" s="7"/>
      <c r="K17" s="7">
        <v>15</v>
      </c>
      <c r="L17" s="7">
        <v>2</v>
      </c>
      <c r="M17" s="7"/>
      <c r="N17" s="7"/>
      <c r="O17" s="7">
        <v>7</v>
      </c>
      <c r="P17" s="8"/>
    </row>
    <row r="18" spans="1:16" ht="12.75">
      <c r="A18" s="5" t="s">
        <v>220</v>
      </c>
      <c r="B18" s="1" t="s">
        <v>96</v>
      </c>
      <c r="C18" s="1" t="s">
        <v>97</v>
      </c>
      <c r="D18" s="2">
        <v>664519</v>
      </c>
      <c r="E18" s="1" t="s">
        <v>98</v>
      </c>
      <c r="F18" s="14" t="s">
        <v>99</v>
      </c>
      <c r="G18" s="7">
        <f>67*52*0.86</f>
        <v>2996.24</v>
      </c>
      <c r="H18" s="7">
        <f>67*52*0.14</f>
        <v>487.76000000000005</v>
      </c>
      <c r="I18" s="7"/>
      <c r="J18" s="7"/>
      <c r="K18" s="7">
        <v>5</v>
      </c>
      <c r="L18" s="7"/>
      <c r="M18" s="7"/>
      <c r="N18" s="7"/>
      <c r="O18" s="7"/>
      <c r="P18" s="8"/>
    </row>
    <row r="19" spans="1:16" ht="12.75">
      <c r="A19" s="5" t="s">
        <v>220</v>
      </c>
      <c r="B19" s="1" t="s">
        <v>104</v>
      </c>
      <c r="C19" s="1" t="s">
        <v>105</v>
      </c>
      <c r="D19" s="2">
        <v>665428</v>
      </c>
      <c r="E19" s="1" t="s">
        <v>106</v>
      </c>
      <c r="F19" s="14" t="s">
        <v>111</v>
      </c>
      <c r="G19" s="7">
        <f>48*52*0.96</f>
        <v>2396.16</v>
      </c>
      <c r="H19" s="7">
        <f>48*52*0.04</f>
        <v>99.84</v>
      </c>
      <c r="I19" s="7"/>
      <c r="J19" s="7"/>
      <c r="K19" s="7">
        <v>2</v>
      </c>
      <c r="L19" s="7"/>
      <c r="M19" s="7"/>
      <c r="N19" s="7"/>
      <c r="O19" s="7"/>
      <c r="P19" s="8"/>
    </row>
    <row r="20" spans="1:16" ht="12.75">
      <c r="A20" s="5" t="s">
        <v>220</v>
      </c>
      <c r="B20" s="1" t="s">
        <v>86</v>
      </c>
      <c r="C20" s="1" t="s">
        <v>87</v>
      </c>
      <c r="D20" s="2">
        <v>664870</v>
      </c>
      <c r="E20" s="1" t="s">
        <v>88</v>
      </c>
      <c r="F20" s="14" t="s">
        <v>90</v>
      </c>
      <c r="G20" s="7">
        <f>29*365*(0.56+0.38)</f>
        <v>9949.900000000001</v>
      </c>
      <c r="H20" s="7">
        <f>29*365*(0.06)</f>
        <v>635.1</v>
      </c>
      <c r="I20" s="7">
        <f>29*365*(0.01)</f>
        <v>105.85000000000001</v>
      </c>
      <c r="J20" s="7"/>
      <c r="K20" s="7">
        <v>41</v>
      </c>
      <c r="L20" s="7">
        <v>1</v>
      </c>
      <c r="M20" s="7"/>
      <c r="N20" s="7"/>
      <c r="O20" s="7"/>
      <c r="P20" s="8"/>
    </row>
    <row r="21" spans="1:16" ht="12.75">
      <c r="A21" s="5" t="s">
        <v>220</v>
      </c>
      <c r="B21" s="1" t="s">
        <v>189</v>
      </c>
      <c r="C21" s="1" t="s">
        <v>190</v>
      </c>
      <c r="D21" s="2">
        <v>666821</v>
      </c>
      <c r="E21" s="1" t="s">
        <v>191</v>
      </c>
      <c r="F21" s="14" t="s">
        <v>192</v>
      </c>
      <c r="G21" s="7">
        <f>45*365*0.74</f>
        <v>12154.5</v>
      </c>
      <c r="H21" s="7">
        <f>45*365*0.11</f>
        <v>1806.75</v>
      </c>
      <c r="I21" s="7">
        <f>45*365*0.05</f>
        <v>821.25</v>
      </c>
      <c r="J21" s="7"/>
      <c r="K21" s="7">
        <v>50</v>
      </c>
      <c r="L21" s="7">
        <v>3</v>
      </c>
      <c r="M21" s="7"/>
      <c r="N21" s="7">
        <v>2</v>
      </c>
      <c r="O21" s="7">
        <v>2</v>
      </c>
      <c r="P21" s="8"/>
    </row>
    <row r="22" spans="1:16" ht="12.75">
      <c r="A22" s="5" t="s">
        <v>220</v>
      </c>
      <c r="B22" s="1" t="s">
        <v>61</v>
      </c>
      <c r="C22" s="1" t="s">
        <v>62</v>
      </c>
      <c r="D22" s="2">
        <v>665544</v>
      </c>
      <c r="E22" s="1" t="s">
        <v>63</v>
      </c>
      <c r="F22" s="14" t="s">
        <v>65</v>
      </c>
      <c r="G22" s="7">
        <f>74*52*0.99</f>
        <v>3809.52</v>
      </c>
      <c r="H22" s="7">
        <f>74*52*0.01</f>
        <v>38.480000000000004</v>
      </c>
      <c r="I22" s="7"/>
      <c r="J22" s="7"/>
      <c r="K22" s="7">
        <v>9</v>
      </c>
      <c r="L22" s="7"/>
      <c r="M22" s="7"/>
      <c r="N22" s="7"/>
      <c r="O22" s="7"/>
      <c r="P22" s="8"/>
    </row>
    <row r="23" spans="1:16" ht="12.75">
      <c r="A23" s="5" t="s">
        <v>220</v>
      </c>
      <c r="B23" s="1" t="s">
        <v>9</v>
      </c>
      <c r="C23" s="1" t="s">
        <v>10</v>
      </c>
      <c r="D23" s="2">
        <v>666485</v>
      </c>
      <c r="E23" s="1" t="s">
        <v>11</v>
      </c>
      <c r="F23" s="14" t="s">
        <v>12</v>
      </c>
      <c r="G23" s="7">
        <f>99*365*0.97</f>
        <v>35050.95</v>
      </c>
      <c r="H23" s="7"/>
      <c r="I23" s="7">
        <f>99*365*0.02</f>
        <v>722.7</v>
      </c>
      <c r="J23" s="7"/>
      <c r="K23" s="7">
        <v>115</v>
      </c>
      <c r="L23" s="7">
        <v>6</v>
      </c>
      <c r="M23" s="7"/>
      <c r="N23" s="7">
        <v>2</v>
      </c>
      <c r="O23" s="7">
        <v>13</v>
      </c>
      <c r="P23" s="8">
        <v>8</v>
      </c>
    </row>
    <row r="24" spans="1:16" ht="12.75">
      <c r="A24" s="5" t="s">
        <v>220</v>
      </c>
      <c r="B24" s="1" t="s">
        <v>112</v>
      </c>
      <c r="C24" s="1" t="s">
        <v>113</v>
      </c>
      <c r="D24" s="2">
        <v>665494</v>
      </c>
      <c r="E24" s="1" t="s">
        <v>114</v>
      </c>
      <c r="F24" s="14" t="s">
        <v>118</v>
      </c>
      <c r="G24" s="7">
        <f>46*365*0.97</f>
        <v>16286.3</v>
      </c>
      <c r="H24" s="7">
        <f>46*365*0.03</f>
        <v>503.7</v>
      </c>
      <c r="I24" s="7"/>
      <c r="J24" s="7"/>
      <c r="K24" s="7">
        <v>41</v>
      </c>
      <c r="L24" s="7">
        <v>1</v>
      </c>
      <c r="M24" s="7"/>
      <c r="N24" s="7"/>
      <c r="O24" s="7"/>
      <c r="P24" s="8"/>
    </row>
    <row r="25" spans="1:16" ht="12.75">
      <c r="A25" s="5" t="s">
        <v>220</v>
      </c>
      <c r="B25" s="1" t="s">
        <v>13</v>
      </c>
      <c r="C25" s="1" t="s">
        <v>14</v>
      </c>
      <c r="D25" s="2">
        <v>664638</v>
      </c>
      <c r="E25" s="1" t="s">
        <v>15</v>
      </c>
      <c r="F25" s="14" t="s">
        <v>16</v>
      </c>
      <c r="G25" s="7">
        <f>38*52</f>
        <v>1976</v>
      </c>
      <c r="H25" s="7"/>
      <c r="I25" s="7"/>
      <c r="J25" s="7"/>
      <c r="K25" s="7">
        <v>26</v>
      </c>
      <c r="L25" s="7">
        <v>1</v>
      </c>
      <c r="M25" s="7"/>
      <c r="N25" s="7"/>
      <c r="O25" s="7"/>
      <c r="P25" s="8"/>
    </row>
    <row r="26" spans="1:16" ht="12.75">
      <c r="A26" s="5" t="s">
        <v>220</v>
      </c>
      <c r="B26" s="1" t="s">
        <v>96</v>
      </c>
      <c r="C26" s="1" t="s">
        <v>97</v>
      </c>
      <c r="D26" s="2">
        <v>666441</v>
      </c>
      <c r="E26" s="1" t="s">
        <v>98</v>
      </c>
      <c r="F26" s="14" t="s">
        <v>103</v>
      </c>
      <c r="G26" s="7">
        <f>25*12</f>
        <v>300</v>
      </c>
      <c r="H26" s="7"/>
      <c r="I26" s="7"/>
      <c r="J26" s="7"/>
      <c r="K26" s="7"/>
      <c r="L26" s="7"/>
      <c r="M26" s="7"/>
      <c r="N26" s="7"/>
      <c r="O26" s="7"/>
      <c r="P26" s="8"/>
    </row>
    <row r="27" spans="1:16" ht="12.75">
      <c r="A27" s="5" t="s">
        <v>220</v>
      </c>
      <c r="B27" s="1" t="s">
        <v>143</v>
      </c>
      <c r="C27" s="1" t="s">
        <v>144</v>
      </c>
      <c r="D27" s="2">
        <v>666652</v>
      </c>
      <c r="E27" s="1" t="s">
        <v>145</v>
      </c>
      <c r="F27" s="14" t="s">
        <v>147</v>
      </c>
      <c r="G27" s="7">
        <f>83*12*0.9</f>
        <v>896.4</v>
      </c>
      <c r="H27" s="7">
        <f>83*12*0.1</f>
        <v>99.60000000000001</v>
      </c>
      <c r="I27" s="7"/>
      <c r="J27" s="7"/>
      <c r="K27" s="7">
        <v>4</v>
      </c>
      <c r="L27" s="7">
        <v>1</v>
      </c>
      <c r="M27" s="7"/>
      <c r="N27" s="7"/>
      <c r="O27" s="7"/>
      <c r="P27" s="8"/>
    </row>
    <row r="28" spans="1:16" ht="12.75">
      <c r="A28" s="5" t="s">
        <v>220</v>
      </c>
      <c r="B28" s="1" t="s">
        <v>174</v>
      </c>
      <c r="C28" s="1" t="s">
        <v>175</v>
      </c>
      <c r="D28" s="2">
        <v>664823</v>
      </c>
      <c r="E28" s="1" t="s">
        <v>176</v>
      </c>
      <c r="F28" s="14" t="s">
        <v>177</v>
      </c>
      <c r="G28" s="7">
        <f>66*365*0.67</f>
        <v>16140.300000000001</v>
      </c>
      <c r="H28" s="7">
        <f>66*365*0.2</f>
        <v>4818</v>
      </c>
      <c r="I28" s="7">
        <f>66*365*0.05</f>
        <v>1204.5</v>
      </c>
      <c r="J28" s="7">
        <f>66*365*0.08</f>
        <v>1927.2</v>
      </c>
      <c r="K28" s="7">
        <v>80</v>
      </c>
      <c r="L28" s="7">
        <v>6</v>
      </c>
      <c r="M28" s="7">
        <v>7</v>
      </c>
      <c r="N28" s="7">
        <v>2</v>
      </c>
      <c r="O28" s="7">
        <v>6</v>
      </c>
      <c r="P28" s="8">
        <v>4</v>
      </c>
    </row>
    <row r="29" spans="1:16" ht="12.75">
      <c r="A29" s="5" t="s">
        <v>220</v>
      </c>
      <c r="B29" s="1" t="s">
        <v>183</v>
      </c>
      <c r="C29" s="1" t="s">
        <v>184</v>
      </c>
      <c r="D29" s="2">
        <v>666554</v>
      </c>
      <c r="E29" s="1" t="s">
        <v>185</v>
      </c>
      <c r="F29" s="14" t="s">
        <v>188</v>
      </c>
      <c r="G29" s="7">
        <f>93*52*0.91</f>
        <v>4400.76</v>
      </c>
      <c r="H29" s="7">
        <f>93*52*0.09</f>
        <v>435.24</v>
      </c>
      <c r="I29" s="7"/>
      <c r="J29" s="7"/>
      <c r="K29" s="7">
        <v>27</v>
      </c>
      <c r="L29" s="7"/>
      <c r="M29" s="7"/>
      <c r="N29" s="7"/>
      <c r="O29" s="7"/>
      <c r="P29" s="8">
        <v>4</v>
      </c>
    </row>
    <row r="30" spans="1:16" ht="12.75">
      <c r="A30" s="5" t="s">
        <v>220</v>
      </c>
      <c r="B30" s="1" t="s">
        <v>112</v>
      </c>
      <c r="C30" s="1" t="s">
        <v>113</v>
      </c>
      <c r="D30" s="2">
        <v>666234</v>
      </c>
      <c r="E30" s="1" t="s">
        <v>114</v>
      </c>
      <c r="F30" s="14" t="s">
        <v>120</v>
      </c>
      <c r="G30" s="7">
        <f>134*52*0.7</f>
        <v>4877.599999999999</v>
      </c>
      <c r="H30" s="7">
        <f>134*52*0.09</f>
        <v>627.12</v>
      </c>
      <c r="I30" s="7">
        <f>134*52*0.21</f>
        <v>1463.28</v>
      </c>
      <c r="J30" s="7"/>
      <c r="K30" s="7">
        <v>28</v>
      </c>
      <c r="L30" s="7">
        <v>3</v>
      </c>
      <c r="M30" s="7"/>
      <c r="N30" s="7"/>
      <c r="O30" s="7"/>
      <c r="P30" s="8"/>
    </row>
    <row r="31" spans="1:16" ht="12.75">
      <c r="A31" s="5" t="s">
        <v>220</v>
      </c>
      <c r="B31" s="1" t="s">
        <v>53</v>
      </c>
      <c r="C31" s="1" t="s">
        <v>54</v>
      </c>
      <c r="D31" s="2">
        <v>665302</v>
      </c>
      <c r="E31" s="1" t="s">
        <v>55</v>
      </c>
      <c r="F31" s="14" t="s">
        <v>56</v>
      </c>
      <c r="G31" s="7">
        <f>29*52</f>
        <v>1508</v>
      </c>
      <c r="H31" s="7"/>
      <c r="I31" s="7"/>
      <c r="J31" s="7"/>
      <c r="K31" s="7">
        <v>17</v>
      </c>
      <c r="L31" s="7"/>
      <c r="M31" s="7"/>
      <c r="N31" s="7"/>
      <c r="O31" s="7"/>
      <c r="P31" s="8">
        <v>2</v>
      </c>
    </row>
    <row r="32" spans="1:16" ht="12.75">
      <c r="A32" s="5" t="s">
        <v>220</v>
      </c>
      <c r="B32" s="1" t="s">
        <v>40</v>
      </c>
      <c r="C32" s="1" t="s">
        <v>41</v>
      </c>
      <c r="D32" s="2">
        <v>666256</v>
      </c>
      <c r="E32" s="1" t="s">
        <v>42</v>
      </c>
      <c r="F32" s="14" t="s">
        <v>44</v>
      </c>
      <c r="G32" s="7">
        <f>106*52*(0.56+0.27)</f>
        <v>4574.96</v>
      </c>
      <c r="H32" s="7">
        <f>106*52*0.14</f>
        <v>771.6800000000001</v>
      </c>
      <c r="I32" s="7">
        <f>106*52*0.03</f>
        <v>165.35999999999999</v>
      </c>
      <c r="J32" s="7"/>
      <c r="K32" s="7">
        <v>15</v>
      </c>
      <c r="L32" s="7">
        <v>2</v>
      </c>
      <c r="M32" s="7"/>
      <c r="N32" s="7"/>
      <c r="O32" s="7"/>
      <c r="P32" s="8"/>
    </row>
    <row r="33" spans="1:16" ht="12.75">
      <c r="A33" s="5" t="s">
        <v>220</v>
      </c>
      <c r="B33" s="1" t="s">
        <v>66</v>
      </c>
      <c r="C33" s="1" t="s">
        <v>67</v>
      </c>
      <c r="D33" s="2">
        <v>664754</v>
      </c>
      <c r="E33" s="1" t="s">
        <v>68</v>
      </c>
      <c r="F33" s="14" t="s">
        <v>69</v>
      </c>
      <c r="G33" s="7">
        <f>26*365*0.84</f>
        <v>7971.599999999999</v>
      </c>
      <c r="H33" s="7">
        <f>26*365*0.16</f>
        <v>1518.4</v>
      </c>
      <c r="I33" s="7"/>
      <c r="J33" s="7"/>
      <c r="K33" s="7">
        <v>28</v>
      </c>
      <c r="L33" s="7"/>
      <c r="M33" s="7"/>
      <c r="N33" s="7"/>
      <c r="O33" s="7">
        <v>2</v>
      </c>
      <c r="P33" s="8">
        <v>3</v>
      </c>
    </row>
    <row r="34" spans="1:16" ht="12.75">
      <c r="A34" s="5" t="s">
        <v>220</v>
      </c>
      <c r="B34" s="1" t="s">
        <v>91</v>
      </c>
      <c r="C34" s="1" t="s">
        <v>92</v>
      </c>
      <c r="D34" s="2">
        <v>666416</v>
      </c>
      <c r="E34" s="1" t="s">
        <v>93</v>
      </c>
      <c r="F34" s="14" t="s">
        <v>94</v>
      </c>
      <c r="G34" s="7">
        <f>68*365*0.98</f>
        <v>24323.6</v>
      </c>
      <c r="H34" s="7">
        <f>68*368*0.02</f>
        <v>500.48</v>
      </c>
      <c r="I34" s="7"/>
      <c r="J34" s="7"/>
      <c r="K34" s="7">
        <v>150</v>
      </c>
      <c r="L34" s="7">
        <v>8</v>
      </c>
      <c r="M34" s="7"/>
      <c r="N34" s="7"/>
      <c r="O34" s="7">
        <v>7</v>
      </c>
      <c r="P34" s="8">
        <v>8</v>
      </c>
    </row>
    <row r="35" spans="1:16" ht="12.75">
      <c r="A35" s="5" t="s">
        <v>220</v>
      </c>
      <c r="B35" s="1" t="s">
        <v>174</v>
      </c>
      <c r="C35" s="1" t="s">
        <v>175</v>
      </c>
      <c r="D35" s="2">
        <v>665017</v>
      </c>
      <c r="E35" s="1" t="s">
        <v>176</v>
      </c>
      <c r="F35" s="14" t="s">
        <v>178</v>
      </c>
      <c r="G35" s="7">
        <f>43*365*0.96</f>
        <v>15067.199999999999</v>
      </c>
      <c r="H35" s="7">
        <f>43*365*0.03</f>
        <v>470.84999999999997</v>
      </c>
      <c r="I35" s="7"/>
      <c r="J35" s="7"/>
      <c r="K35" s="7">
        <v>38</v>
      </c>
      <c r="L35" s="7">
        <v>2</v>
      </c>
      <c r="M35" s="7"/>
      <c r="N35" s="7"/>
      <c r="O35" s="7"/>
      <c r="P35" s="8"/>
    </row>
    <row r="36" spans="1:16" ht="12.75">
      <c r="A36" s="5" t="s">
        <v>220</v>
      </c>
      <c r="B36" s="1" t="s">
        <v>193</v>
      </c>
      <c r="C36" s="1" t="s">
        <v>194</v>
      </c>
      <c r="D36" s="2">
        <v>665519</v>
      </c>
      <c r="E36" s="1" t="s">
        <v>195</v>
      </c>
      <c r="F36" s="14" t="s">
        <v>197</v>
      </c>
      <c r="G36" s="7">
        <f>528*365*0.96</f>
        <v>185011.19999999998</v>
      </c>
      <c r="H36" s="7">
        <f>528*365*0.04</f>
        <v>7708.8</v>
      </c>
      <c r="I36" s="7"/>
      <c r="J36" s="7"/>
      <c r="K36" s="7">
        <v>244</v>
      </c>
      <c r="L36" s="7">
        <v>48</v>
      </c>
      <c r="M36" s="7"/>
      <c r="N36" s="7">
        <v>41</v>
      </c>
      <c r="O36" s="7">
        <v>29</v>
      </c>
      <c r="P36" s="8"/>
    </row>
    <row r="37" spans="1:16" ht="12.75">
      <c r="A37" s="5" t="s">
        <v>220</v>
      </c>
      <c r="B37" s="1" t="s">
        <v>112</v>
      </c>
      <c r="C37" s="1" t="s">
        <v>113</v>
      </c>
      <c r="D37" s="2">
        <v>664685</v>
      </c>
      <c r="E37" s="1" t="s">
        <v>114</v>
      </c>
      <c r="F37" s="14" t="s">
        <v>115</v>
      </c>
      <c r="G37" s="7">
        <f>105*365*0.97</f>
        <v>37175.25</v>
      </c>
      <c r="H37" s="7">
        <f>105*365*0.03</f>
        <v>1149.75</v>
      </c>
      <c r="I37" s="7"/>
      <c r="J37" s="7"/>
      <c r="K37" s="7">
        <v>107</v>
      </c>
      <c r="L37" s="7">
        <v>1</v>
      </c>
      <c r="M37" s="7"/>
      <c r="N37" s="7"/>
      <c r="O37" s="7"/>
      <c r="P37" s="8">
        <v>2</v>
      </c>
    </row>
    <row r="38" spans="1:16" ht="12.75">
      <c r="A38" s="5" t="s">
        <v>220</v>
      </c>
      <c r="B38" s="1" t="s">
        <v>75</v>
      </c>
      <c r="C38" s="1" t="s">
        <v>76</v>
      </c>
      <c r="D38" s="2">
        <v>666532</v>
      </c>
      <c r="E38" s="1" t="s">
        <v>77</v>
      </c>
      <c r="F38" s="15" t="s">
        <v>213</v>
      </c>
      <c r="G38" s="7">
        <f>39*365*0.99</f>
        <v>14092.65</v>
      </c>
      <c r="H38" s="7">
        <f>39*365*0.01</f>
        <v>142.35</v>
      </c>
      <c r="I38" s="7"/>
      <c r="J38" s="7"/>
      <c r="K38" s="7">
        <v>81</v>
      </c>
      <c r="L38" s="7">
        <v>1</v>
      </c>
      <c r="M38" s="7"/>
      <c r="N38" s="7"/>
      <c r="O38" s="7">
        <v>1</v>
      </c>
      <c r="P38" s="8"/>
    </row>
    <row r="39" spans="1:16" ht="12.75">
      <c r="A39" s="5" t="s">
        <v>220</v>
      </c>
      <c r="B39" s="1" t="s">
        <v>91</v>
      </c>
      <c r="C39" s="1" t="s">
        <v>92</v>
      </c>
      <c r="D39" s="2">
        <v>666507</v>
      </c>
      <c r="E39" s="1" t="s">
        <v>93</v>
      </c>
      <c r="F39" s="14" t="s">
        <v>95</v>
      </c>
      <c r="G39" s="7">
        <f>115*52</f>
        <v>5980</v>
      </c>
      <c r="H39" s="7"/>
      <c r="I39" s="7"/>
      <c r="J39" s="7"/>
      <c r="K39" s="7">
        <v>10</v>
      </c>
      <c r="L39" s="7"/>
      <c r="M39" s="7"/>
      <c r="N39" s="7"/>
      <c r="O39" s="7"/>
      <c r="P39" s="8">
        <v>12</v>
      </c>
    </row>
    <row r="40" spans="1:16" ht="12.75">
      <c r="A40" s="5" t="s">
        <v>220</v>
      </c>
      <c r="B40" s="1" t="s">
        <v>160</v>
      </c>
      <c r="C40" s="1" t="s">
        <v>161</v>
      </c>
      <c r="D40" s="2">
        <v>666463</v>
      </c>
      <c r="E40" s="1" t="s">
        <v>162</v>
      </c>
      <c r="F40" s="14" t="s">
        <v>163</v>
      </c>
      <c r="G40" s="7">
        <f>87*365*0.96</f>
        <v>30484.8</v>
      </c>
      <c r="H40" s="7">
        <f>87*365*0.04</f>
        <v>1270.2</v>
      </c>
      <c r="I40" s="7"/>
      <c r="J40" s="7"/>
      <c r="K40" s="7">
        <v>134</v>
      </c>
      <c r="L40" s="7">
        <v>3</v>
      </c>
      <c r="M40" s="7"/>
      <c r="N40" s="7"/>
      <c r="O40" s="7"/>
      <c r="P40" s="8">
        <v>5</v>
      </c>
    </row>
    <row r="41" spans="1:16" ht="12.75">
      <c r="A41" s="5" t="s">
        <v>220</v>
      </c>
      <c r="B41" s="1" t="s">
        <v>183</v>
      </c>
      <c r="C41" s="1" t="s">
        <v>184</v>
      </c>
      <c r="D41" s="2">
        <v>665710</v>
      </c>
      <c r="E41" s="1" t="s">
        <v>185</v>
      </c>
      <c r="F41" s="14" t="s">
        <v>187</v>
      </c>
      <c r="G41" s="7">
        <f>74*52*0.94</f>
        <v>3617.12</v>
      </c>
      <c r="H41" s="7">
        <f>74*52*0.06</f>
        <v>230.88</v>
      </c>
      <c r="I41" s="7"/>
      <c r="J41" s="7"/>
      <c r="K41" s="7">
        <v>9</v>
      </c>
      <c r="L41" s="7"/>
      <c r="M41" s="7"/>
      <c r="N41" s="7"/>
      <c r="O41" s="7"/>
      <c r="P41" s="8"/>
    </row>
    <row r="42" spans="1:16" ht="12.75">
      <c r="A42" s="5" t="s">
        <v>220</v>
      </c>
      <c r="B42" s="1" t="s">
        <v>96</v>
      </c>
      <c r="C42" s="1" t="s">
        <v>97</v>
      </c>
      <c r="D42" s="2">
        <v>665061</v>
      </c>
      <c r="E42" s="1" t="s">
        <v>98</v>
      </c>
      <c r="F42" s="14" t="s">
        <v>101</v>
      </c>
      <c r="G42" s="7">
        <f>133*365*0.61</f>
        <v>29612.45</v>
      </c>
      <c r="H42" s="7">
        <f>133*365*0.06</f>
        <v>2912.7</v>
      </c>
      <c r="I42" s="7">
        <f>133*365*0.29</f>
        <v>14078.05</v>
      </c>
      <c r="J42" s="7">
        <f>133*365*0.05</f>
        <v>2427.25</v>
      </c>
      <c r="K42" s="7">
        <v>112</v>
      </c>
      <c r="L42" s="7">
        <v>7</v>
      </c>
      <c r="M42" s="7">
        <v>21</v>
      </c>
      <c r="N42" s="7">
        <v>29</v>
      </c>
      <c r="O42" s="7">
        <v>1</v>
      </c>
      <c r="P42" s="8"/>
    </row>
    <row r="43" spans="1:16" ht="12.75">
      <c r="A43" s="5" t="s">
        <v>220</v>
      </c>
      <c r="B43" s="1" t="s">
        <v>179</v>
      </c>
      <c r="C43" s="1" t="s">
        <v>180</v>
      </c>
      <c r="D43" s="2">
        <v>665083</v>
      </c>
      <c r="E43" s="1" t="s">
        <v>181</v>
      </c>
      <c r="F43" s="14" t="s">
        <v>182</v>
      </c>
      <c r="G43" s="7">
        <f>44*365*0.81</f>
        <v>13008.6</v>
      </c>
      <c r="H43" s="7">
        <f>44*365*0.16</f>
        <v>2569.6</v>
      </c>
      <c r="I43" s="7">
        <f>44*365*0.03</f>
        <v>481.79999999999995</v>
      </c>
      <c r="J43" s="7"/>
      <c r="K43" s="7">
        <v>57</v>
      </c>
      <c r="L43" s="7">
        <v>7</v>
      </c>
      <c r="M43" s="7"/>
      <c r="N43" s="7"/>
      <c r="O43" s="7"/>
      <c r="P43" s="8"/>
    </row>
    <row r="44" spans="1:16" ht="12.75">
      <c r="A44" s="5" t="s">
        <v>220</v>
      </c>
      <c r="B44" s="1" t="s">
        <v>86</v>
      </c>
      <c r="C44" s="1" t="s">
        <v>87</v>
      </c>
      <c r="D44" s="2">
        <v>664707</v>
      </c>
      <c r="E44" s="1" t="s">
        <v>88</v>
      </c>
      <c r="F44" s="14" t="s">
        <v>89</v>
      </c>
      <c r="G44" s="7">
        <f>47*12</f>
        <v>564</v>
      </c>
      <c r="H44" s="7"/>
      <c r="I44" s="7"/>
      <c r="J44" s="7"/>
      <c r="K44" s="7">
        <v>7</v>
      </c>
      <c r="L44" s="7">
        <v>1</v>
      </c>
      <c r="M44" s="7"/>
      <c r="N44" s="7"/>
      <c r="O44" s="7"/>
      <c r="P44" s="8"/>
    </row>
    <row r="45" spans="1:16" ht="12.75">
      <c r="A45" s="5" t="s">
        <v>220</v>
      </c>
      <c r="B45" s="1" t="s">
        <v>104</v>
      </c>
      <c r="C45" s="1" t="s">
        <v>105</v>
      </c>
      <c r="D45" s="2">
        <v>665895</v>
      </c>
      <c r="E45" s="1" t="s">
        <v>106</v>
      </c>
      <c r="F45" s="14" t="s">
        <v>109</v>
      </c>
      <c r="G45" s="7">
        <f>115*52*0.8</f>
        <v>4784</v>
      </c>
      <c r="H45" s="7">
        <f>115*52*0.2</f>
        <v>1196</v>
      </c>
      <c r="I45" s="7"/>
      <c r="J45" s="7"/>
      <c r="K45" s="7">
        <v>18</v>
      </c>
      <c r="L45" s="7">
        <v>1</v>
      </c>
      <c r="M45" s="7"/>
      <c r="N45" s="7"/>
      <c r="O45" s="7"/>
      <c r="P45" s="8">
        <v>1</v>
      </c>
    </row>
    <row r="46" spans="1:16" ht="12.75">
      <c r="A46" s="5" t="s">
        <v>220</v>
      </c>
      <c r="B46" s="1" t="s">
        <v>112</v>
      </c>
      <c r="C46" s="1" t="s">
        <v>113</v>
      </c>
      <c r="D46" s="2">
        <v>665782</v>
      </c>
      <c r="E46" s="1" t="s">
        <v>114</v>
      </c>
      <c r="F46" s="14" t="s">
        <v>119</v>
      </c>
      <c r="G46" s="7">
        <f>57*52</f>
        <v>2964</v>
      </c>
      <c r="H46" s="7"/>
      <c r="I46" s="7"/>
      <c r="J46" s="7"/>
      <c r="K46" s="7"/>
      <c r="L46" s="7"/>
      <c r="M46" s="7"/>
      <c r="N46" s="7"/>
      <c r="O46" s="7"/>
      <c r="P46" s="8"/>
    </row>
    <row r="47" spans="1:16" ht="12.75">
      <c r="A47" s="5" t="s">
        <v>220</v>
      </c>
      <c r="B47" s="1" t="s">
        <v>53</v>
      </c>
      <c r="C47" s="1" t="s">
        <v>54</v>
      </c>
      <c r="D47" s="2">
        <v>665324</v>
      </c>
      <c r="E47" s="1" t="s">
        <v>55</v>
      </c>
      <c r="F47" s="14" t="s">
        <v>60</v>
      </c>
      <c r="G47" s="7">
        <f>29*52*0.94</f>
        <v>1417.52</v>
      </c>
      <c r="H47" s="7">
        <f>29*52*0.07</f>
        <v>105.56000000000002</v>
      </c>
      <c r="I47" s="7"/>
      <c r="J47" s="7"/>
      <c r="K47" s="7">
        <v>3</v>
      </c>
      <c r="L47" s="7"/>
      <c r="M47" s="7"/>
      <c r="N47" s="7"/>
      <c r="O47" s="7"/>
      <c r="P47" s="8"/>
    </row>
    <row r="48" spans="1:16" ht="12.75">
      <c r="A48" s="5" t="s">
        <v>220</v>
      </c>
      <c r="B48" s="1" t="s">
        <v>129</v>
      </c>
      <c r="C48" s="1" t="s">
        <v>130</v>
      </c>
      <c r="D48" s="2">
        <v>666024</v>
      </c>
      <c r="E48" s="1" t="s">
        <v>131</v>
      </c>
      <c r="F48" s="14" t="s">
        <v>132</v>
      </c>
      <c r="G48" s="7">
        <f>27*365*0.96</f>
        <v>9460.8</v>
      </c>
      <c r="H48" s="7">
        <f>27*365*0.04</f>
        <v>394.2</v>
      </c>
      <c r="I48" s="7"/>
      <c r="J48" s="7"/>
      <c r="K48" s="7">
        <v>47</v>
      </c>
      <c r="L48" s="7">
        <v>3</v>
      </c>
      <c r="M48" s="7"/>
      <c r="N48" s="7"/>
      <c r="O48" s="7"/>
      <c r="P48" s="8">
        <v>3</v>
      </c>
    </row>
    <row r="49" spans="1:16" ht="12.75">
      <c r="A49" s="5" t="s">
        <v>220</v>
      </c>
      <c r="B49" s="1" t="s">
        <v>13</v>
      </c>
      <c r="C49" s="1" t="s">
        <v>14</v>
      </c>
      <c r="D49" s="2">
        <v>666627</v>
      </c>
      <c r="E49" s="1" t="s">
        <v>15</v>
      </c>
      <c r="F49" s="14" t="s">
        <v>19</v>
      </c>
      <c r="G49" s="7">
        <f>115*52</f>
        <v>5980</v>
      </c>
      <c r="H49" s="7"/>
      <c r="I49" s="7"/>
      <c r="J49" s="7"/>
      <c r="K49" s="7">
        <v>55</v>
      </c>
      <c r="L49" s="7"/>
      <c r="M49" s="7"/>
      <c r="N49" s="7"/>
      <c r="O49" s="7"/>
      <c r="P49" s="8">
        <v>4</v>
      </c>
    </row>
    <row r="50" spans="1:16" ht="12.75">
      <c r="A50" s="5" t="s">
        <v>220</v>
      </c>
      <c r="B50" s="1" t="s">
        <v>149</v>
      </c>
      <c r="C50" s="1" t="s">
        <v>150</v>
      </c>
      <c r="D50" s="2">
        <v>665872</v>
      </c>
      <c r="E50" s="1" t="s">
        <v>151</v>
      </c>
      <c r="F50" s="14" t="s">
        <v>153</v>
      </c>
      <c r="G50" s="7">
        <f>85*52</f>
        <v>4420</v>
      </c>
      <c r="H50" s="7"/>
      <c r="I50" s="7"/>
      <c r="J50" s="7"/>
      <c r="K50" s="7">
        <v>9</v>
      </c>
      <c r="L50" s="7"/>
      <c r="M50" s="7"/>
      <c r="N50" s="7"/>
      <c r="O50" s="7"/>
      <c r="P50" s="8"/>
    </row>
    <row r="51" spans="1:16" ht="12.75">
      <c r="A51" s="5" t="s">
        <v>220</v>
      </c>
      <c r="B51" s="1" t="s">
        <v>112</v>
      </c>
      <c r="C51" s="1" t="s">
        <v>113</v>
      </c>
      <c r="D51" s="2">
        <v>664992</v>
      </c>
      <c r="E51" s="1" t="s">
        <v>114</v>
      </c>
      <c r="F51" s="14" t="s">
        <v>116</v>
      </c>
      <c r="G51" s="7">
        <f>244*365*0.68</f>
        <v>60560.8</v>
      </c>
      <c r="H51" s="7">
        <f>244*365*0.25</f>
        <v>22265</v>
      </c>
      <c r="I51" s="7">
        <f>244*365*0.02</f>
        <v>1781.2</v>
      </c>
      <c r="J51" s="7">
        <f>244*365*0.05</f>
        <v>4453</v>
      </c>
      <c r="K51" s="7">
        <v>138</v>
      </c>
      <c r="L51" s="7">
        <v>11</v>
      </c>
      <c r="M51" s="7"/>
      <c r="N51" s="7">
        <v>17</v>
      </c>
      <c r="O51" s="7">
        <v>9</v>
      </c>
      <c r="P51" s="8"/>
    </row>
    <row r="52" spans="1:16" ht="12.75">
      <c r="A52" s="5" t="s">
        <v>220</v>
      </c>
      <c r="B52" s="1" t="s">
        <v>96</v>
      </c>
      <c r="C52" s="1" t="s">
        <v>97</v>
      </c>
      <c r="D52" s="2">
        <v>664892</v>
      </c>
      <c r="E52" s="1" t="s">
        <v>98</v>
      </c>
      <c r="F52" s="14" t="s">
        <v>100</v>
      </c>
      <c r="G52" s="7">
        <f>58*12</f>
        <v>696</v>
      </c>
      <c r="H52" s="7"/>
      <c r="I52" s="7"/>
      <c r="J52" s="7"/>
      <c r="K52" s="7">
        <v>4</v>
      </c>
      <c r="L52" s="7"/>
      <c r="M52" s="7"/>
      <c r="N52" s="7"/>
      <c r="O52" s="7"/>
      <c r="P52" s="8"/>
    </row>
    <row r="53" spans="1:16" ht="12.75">
      <c r="A53" s="5" t="s">
        <v>220</v>
      </c>
      <c r="B53" s="1" t="s">
        <v>135</v>
      </c>
      <c r="C53" s="1" t="s">
        <v>136</v>
      </c>
      <c r="D53" s="2">
        <v>665403</v>
      </c>
      <c r="E53" s="1" t="s">
        <v>137</v>
      </c>
      <c r="F53" s="14" t="s">
        <v>140</v>
      </c>
      <c r="G53" s="7">
        <f>42*52*0.91</f>
        <v>1987.44</v>
      </c>
      <c r="H53" s="7">
        <f>42*52*0.09</f>
        <v>196.56</v>
      </c>
      <c r="I53" s="7"/>
      <c r="J53" s="7"/>
      <c r="K53" s="7">
        <v>2</v>
      </c>
      <c r="L53" s="7"/>
      <c r="M53" s="7"/>
      <c r="N53" s="7"/>
      <c r="O53" s="7"/>
      <c r="P53" s="8"/>
    </row>
    <row r="54" spans="1:16" ht="12.75">
      <c r="A54" s="5" t="s">
        <v>220</v>
      </c>
      <c r="B54" s="1" t="s">
        <v>112</v>
      </c>
      <c r="C54" s="1" t="s">
        <v>113</v>
      </c>
      <c r="D54" s="2">
        <v>666325</v>
      </c>
      <c r="E54" s="1" t="s">
        <v>114</v>
      </c>
      <c r="F54" s="14" t="s">
        <v>121</v>
      </c>
      <c r="G54" s="7">
        <f>33*12</f>
        <v>396</v>
      </c>
      <c r="H54" s="7"/>
      <c r="I54" s="7"/>
      <c r="J54" s="7"/>
      <c r="K54" s="7"/>
      <c r="L54" s="7"/>
      <c r="M54" s="7"/>
      <c r="N54" s="7"/>
      <c r="O54" s="7"/>
      <c r="P54" s="8"/>
    </row>
    <row r="55" spans="1:16" ht="12.75">
      <c r="A55" s="5" t="s">
        <v>220</v>
      </c>
      <c r="B55" s="1" t="s">
        <v>199</v>
      </c>
      <c r="C55" s="1" t="s">
        <v>200</v>
      </c>
      <c r="D55" s="2">
        <v>665280</v>
      </c>
      <c r="E55" s="1" t="s">
        <v>201</v>
      </c>
      <c r="F55" s="14" t="s">
        <v>204</v>
      </c>
      <c r="G55" s="7">
        <f>174*365*0.98</f>
        <v>62239.799999999996</v>
      </c>
      <c r="H55" s="7"/>
      <c r="I55" s="7">
        <f>174*365*0.02</f>
        <v>1270.2</v>
      </c>
      <c r="J55" s="7"/>
      <c r="K55" s="7">
        <v>105</v>
      </c>
      <c r="L55" s="7">
        <v>6</v>
      </c>
      <c r="M55" s="7"/>
      <c r="N55" s="7">
        <v>2</v>
      </c>
      <c r="O55" s="7">
        <v>10</v>
      </c>
      <c r="P55" s="8"/>
    </row>
    <row r="56" spans="1:16" ht="12.75">
      <c r="A56" s="5" t="s">
        <v>220</v>
      </c>
      <c r="B56" s="1" t="s">
        <v>143</v>
      </c>
      <c r="C56" s="1" t="s">
        <v>144</v>
      </c>
      <c r="D56" s="2">
        <v>664412</v>
      </c>
      <c r="E56" s="1" t="s">
        <v>145</v>
      </c>
      <c r="F56" s="14" t="s">
        <v>148</v>
      </c>
      <c r="G56" s="7">
        <f>138*365*0.92</f>
        <v>46340.4</v>
      </c>
      <c r="H56" s="7">
        <f>180*365*0.03</f>
        <v>1971</v>
      </c>
      <c r="I56" s="7">
        <f>180*365*0.05</f>
        <v>3285</v>
      </c>
      <c r="J56" s="7"/>
      <c r="K56" s="7">
        <v>178</v>
      </c>
      <c r="L56" s="7">
        <v>23</v>
      </c>
      <c r="M56" s="7">
        <v>22</v>
      </c>
      <c r="N56" s="7">
        <v>4</v>
      </c>
      <c r="O56" s="7">
        <v>4</v>
      </c>
      <c r="P56" s="8"/>
    </row>
    <row r="57" spans="1:16" ht="12.75">
      <c r="A57" s="5" t="s">
        <v>220</v>
      </c>
      <c r="B57" s="1" t="s">
        <v>183</v>
      </c>
      <c r="C57" s="1" t="s">
        <v>184</v>
      </c>
      <c r="D57" s="2">
        <v>665227</v>
      </c>
      <c r="E57" s="1" t="s">
        <v>185</v>
      </c>
      <c r="F57" s="14" t="s">
        <v>186</v>
      </c>
      <c r="G57" s="7">
        <f>50*12*0.75</f>
        <v>450</v>
      </c>
      <c r="H57" s="7">
        <f>50*12*0.25</f>
        <v>150</v>
      </c>
      <c r="I57" s="7"/>
      <c r="J57" s="7"/>
      <c r="K57" s="7"/>
      <c r="L57" s="7"/>
      <c r="M57" s="7"/>
      <c r="N57" s="7"/>
      <c r="O57" s="7"/>
      <c r="P57" s="8"/>
    </row>
    <row r="58" spans="1:16" ht="12.75">
      <c r="A58" s="5" t="s">
        <v>220</v>
      </c>
      <c r="B58" s="1" t="s">
        <v>135</v>
      </c>
      <c r="C58" s="1" t="s">
        <v>136</v>
      </c>
      <c r="D58" s="2">
        <v>665450</v>
      </c>
      <c r="E58" s="1" t="s">
        <v>137</v>
      </c>
      <c r="F58" s="14" t="s">
        <v>141</v>
      </c>
      <c r="G58" s="7">
        <f>38*52</f>
        <v>1976</v>
      </c>
      <c r="H58" s="7"/>
      <c r="I58" s="7"/>
      <c r="J58" s="7"/>
      <c r="K58" s="7">
        <v>4</v>
      </c>
      <c r="L58" s="7"/>
      <c r="M58" s="7"/>
      <c r="N58" s="7"/>
      <c r="O58" s="7"/>
      <c r="P58" s="8"/>
    </row>
    <row r="59" spans="1:16" ht="12.75">
      <c r="A59" s="5" t="s">
        <v>220</v>
      </c>
      <c r="B59" s="1" t="s">
        <v>66</v>
      </c>
      <c r="C59" s="1" t="s">
        <v>67</v>
      </c>
      <c r="D59" s="2">
        <v>665760</v>
      </c>
      <c r="E59" s="1" t="s">
        <v>68</v>
      </c>
      <c r="F59" s="14" t="s">
        <v>70</v>
      </c>
      <c r="G59" s="7">
        <v>130</v>
      </c>
      <c r="H59" s="7"/>
      <c r="I59" s="7"/>
      <c r="J59" s="7"/>
      <c r="K59" s="7"/>
      <c r="L59" s="7"/>
      <c r="M59" s="7"/>
      <c r="N59" s="7"/>
      <c r="O59" s="7"/>
      <c r="P59" s="8"/>
    </row>
    <row r="60" spans="1:16" ht="12.75">
      <c r="A60" s="5" t="s">
        <v>220</v>
      </c>
      <c r="B60" s="1" t="s">
        <v>53</v>
      </c>
      <c r="C60" s="1" t="s">
        <v>54</v>
      </c>
      <c r="D60" s="2">
        <v>665688</v>
      </c>
      <c r="E60" s="1" t="s">
        <v>55</v>
      </c>
      <c r="F60" s="14" t="s">
        <v>59</v>
      </c>
      <c r="G60" s="7">
        <f>44*52</f>
        <v>2288</v>
      </c>
      <c r="H60" s="7"/>
      <c r="I60" s="7"/>
      <c r="J60" s="7"/>
      <c r="K60" s="7">
        <v>8</v>
      </c>
      <c r="L60" s="7"/>
      <c r="M60" s="7"/>
      <c r="N60" s="7"/>
      <c r="O60" s="7"/>
      <c r="P60" s="8"/>
    </row>
    <row r="61" spans="1:16" ht="12.75">
      <c r="A61" s="5" t="s">
        <v>220</v>
      </c>
      <c r="B61" s="1" t="s">
        <v>168</v>
      </c>
      <c r="C61" s="1" t="s">
        <v>169</v>
      </c>
      <c r="D61" s="2">
        <v>664845</v>
      </c>
      <c r="E61" s="1" t="s">
        <v>170</v>
      </c>
      <c r="F61" s="14" t="s">
        <v>172</v>
      </c>
      <c r="G61" s="7">
        <f>43*52*0.99</f>
        <v>2213.64</v>
      </c>
      <c r="H61" s="7">
        <f>43*52*0.01</f>
        <v>22.36</v>
      </c>
      <c r="I61" s="7"/>
      <c r="J61" s="7"/>
      <c r="K61" s="7"/>
      <c r="L61" s="7"/>
      <c r="M61" s="7"/>
      <c r="N61" s="7"/>
      <c r="O61" s="7"/>
      <c r="P61" s="8"/>
    </row>
    <row r="62" spans="1:16" ht="12.75">
      <c r="A62" s="5" t="s">
        <v>220</v>
      </c>
      <c r="B62" s="1" t="s">
        <v>122</v>
      </c>
      <c r="C62" s="1" t="s">
        <v>123</v>
      </c>
      <c r="D62" s="2">
        <v>666746</v>
      </c>
      <c r="E62" s="1" t="s">
        <v>124</v>
      </c>
      <c r="F62" s="14" t="s">
        <v>126</v>
      </c>
      <c r="G62" s="7">
        <f>66*365*0.79</f>
        <v>19031.100000000002</v>
      </c>
      <c r="H62" s="7">
        <f>66*365*0.08</f>
        <v>1927.2</v>
      </c>
      <c r="I62" s="7">
        <f>66*365*0.12</f>
        <v>2890.7999999999997</v>
      </c>
      <c r="J62" s="7"/>
      <c r="K62" s="7">
        <v>23</v>
      </c>
      <c r="L62" s="7">
        <v>2</v>
      </c>
      <c r="M62" s="7"/>
      <c r="N62" s="7">
        <v>1</v>
      </c>
      <c r="O62" s="7">
        <v>3</v>
      </c>
      <c r="P62" s="8"/>
    </row>
    <row r="63" spans="1:16" ht="12.75">
      <c r="A63" s="5" t="s">
        <v>220</v>
      </c>
      <c r="B63" s="1" t="s">
        <v>31</v>
      </c>
      <c r="C63" s="1" t="s">
        <v>32</v>
      </c>
      <c r="D63" s="2">
        <v>666303</v>
      </c>
      <c r="E63" s="1" t="s">
        <v>33</v>
      </c>
      <c r="F63" s="14" t="s">
        <v>214</v>
      </c>
      <c r="G63" s="7">
        <f>110*365*0.35</f>
        <v>14052.5</v>
      </c>
      <c r="H63" s="7">
        <f>110*365*0.23</f>
        <v>9234.5</v>
      </c>
      <c r="I63" s="7">
        <f>110*365*0.2</f>
        <v>8030</v>
      </c>
      <c r="J63" s="7">
        <f>110*365*0.22</f>
        <v>8833</v>
      </c>
      <c r="K63" s="7">
        <v>51</v>
      </c>
      <c r="L63" s="7">
        <v>9</v>
      </c>
      <c r="M63" s="7">
        <v>5</v>
      </c>
      <c r="N63" s="7"/>
      <c r="O63" s="7"/>
      <c r="P63" s="8"/>
    </row>
    <row r="64" spans="1:16" ht="12.75">
      <c r="A64" s="5" t="s">
        <v>220</v>
      </c>
      <c r="B64" s="1" t="s">
        <v>112</v>
      </c>
      <c r="C64" s="1" t="s">
        <v>113</v>
      </c>
      <c r="D64" s="2">
        <v>665472</v>
      </c>
      <c r="E64" s="1" t="s">
        <v>114</v>
      </c>
      <c r="F64" s="14" t="s">
        <v>117</v>
      </c>
      <c r="G64" s="7">
        <f>33*52*0.82</f>
        <v>1407.12</v>
      </c>
      <c r="H64" s="7">
        <f>33*52*0.18</f>
        <v>308.88</v>
      </c>
      <c r="I64" s="7"/>
      <c r="J64" s="7"/>
      <c r="K64" s="7">
        <v>5</v>
      </c>
      <c r="L64" s="7"/>
      <c r="M64" s="7"/>
      <c r="N64" s="7"/>
      <c r="O64" s="7"/>
      <c r="P64" s="8"/>
    </row>
    <row r="65" spans="1:16" ht="12.75">
      <c r="A65" s="5" t="s">
        <v>220</v>
      </c>
      <c r="B65" s="1" t="s">
        <v>135</v>
      </c>
      <c r="C65" s="1" t="s">
        <v>136</v>
      </c>
      <c r="D65" s="2">
        <v>664961</v>
      </c>
      <c r="E65" s="1" t="s">
        <v>137</v>
      </c>
      <c r="F65" s="14" t="s">
        <v>139</v>
      </c>
      <c r="G65" s="7">
        <f>36*365*0.83</f>
        <v>10906.199999999999</v>
      </c>
      <c r="H65" s="7">
        <f>36*365*0.17</f>
        <v>2233.8</v>
      </c>
      <c r="I65" s="7"/>
      <c r="J65" s="7"/>
      <c r="K65" s="7">
        <v>82</v>
      </c>
      <c r="L65" s="7">
        <v>2</v>
      </c>
      <c r="M65" s="7"/>
      <c r="N65" s="7">
        <v>1</v>
      </c>
      <c r="O65" s="7">
        <v>1</v>
      </c>
      <c r="P65" s="8"/>
    </row>
    <row r="66" spans="1:16" ht="12.75">
      <c r="A66" s="5" t="s">
        <v>220</v>
      </c>
      <c r="B66" s="1" t="s">
        <v>135</v>
      </c>
      <c r="C66" s="1" t="s">
        <v>136</v>
      </c>
      <c r="D66" s="2">
        <v>664917</v>
      </c>
      <c r="E66" s="1" t="s">
        <v>137</v>
      </c>
      <c r="F66" s="14" t="s">
        <v>138</v>
      </c>
      <c r="G66" s="7">
        <f>46*12</f>
        <v>552</v>
      </c>
      <c r="H66" s="7"/>
      <c r="I66" s="7"/>
      <c r="J66" s="7"/>
      <c r="K66" s="7"/>
      <c r="L66" s="7"/>
      <c r="M66" s="7"/>
      <c r="N66" s="7"/>
      <c r="O66" s="7"/>
      <c r="P66" s="8"/>
    </row>
    <row r="67" spans="1:16" ht="12.75">
      <c r="A67" s="5" t="s">
        <v>220</v>
      </c>
      <c r="B67" s="1" t="s">
        <v>168</v>
      </c>
      <c r="C67" s="1" t="s">
        <v>169</v>
      </c>
      <c r="D67" s="2">
        <v>664939</v>
      </c>
      <c r="E67" s="1" t="s">
        <v>170</v>
      </c>
      <c r="F67" s="14" t="s">
        <v>173</v>
      </c>
      <c r="G67" s="7">
        <f>38*52*0.97</f>
        <v>1916.72</v>
      </c>
      <c r="H67" s="7">
        <f>38*52*0.3</f>
        <v>592.8</v>
      </c>
      <c r="I67" s="7"/>
      <c r="J67" s="7"/>
      <c r="K67" s="7">
        <v>3</v>
      </c>
      <c r="L67" s="7"/>
      <c r="M67" s="7"/>
      <c r="N67" s="7"/>
      <c r="O67" s="7"/>
      <c r="P67" s="8"/>
    </row>
    <row r="68" spans="1:16" ht="12.75">
      <c r="A68" s="5" t="s">
        <v>220</v>
      </c>
      <c r="B68" s="1" t="s">
        <v>104</v>
      </c>
      <c r="C68" s="1" t="s">
        <v>105</v>
      </c>
      <c r="D68" s="2">
        <v>665569</v>
      </c>
      <c r="E68" s="1" t="s">
        <v>106</v>
      </c>
      <c r="F68" s="14" t="s">
        <v>107</v>
      </c>
      <c r="G68" s="7">
        <f>25*12*0.67</f>
        <v>201</v>
      </c>
      <c r="H68" s="7">
        <f>25*12*0.33</f>
        <v>99</v>
      </c>
      <c r="I68" s="7"/>
      <c r="J68" s="7"/>
      <c r="K68" s="7"/>
      <c r="L68" s="7"/>
      <c r="M68" s="7"/>
      <c r="N68" s="7"/>
      <c r="O68" s="7"/>
      <c r="P68" s="8"/>
    </row>
    <row r="69" spans="1:16" ht="12.75">
      <c r="A69" s="5" t="s">
        <v>220</v>
      </c>
      <c r="B69" s="1" t="s">
        <v>79</v>
      </c>
      <c r="C69" s="1" t="s">
        <v>80</v>
      </c>
      <c r="D69" s="2">
        <v>665619</v>
      </c>
      <c r="E69" s="1" t="s">
        <v>81</v>
      </c>
      <c r="F69" s="14" t="s">
        <v>84</v>
      </c>
      <c r="G69" s="7">
        <f>52*12</f>
        <v>624</v>
      </c>
      <c r="H69" s="7"/>
      <c r="I69" s="7"/>
      <c r="J69" s="7"/>
      <c r="K69" s="7">
        <v>6</v>
      </c>
      <c r="L69" s="7">
        <v>1</v>
      </c>
      <c r="M69" s="7"/>
      <c r="N69" s="7"/>
      <c r="O69" s="7"/>
      <c r="P69" s="8"/>
    </row>
    <row r="70" spans="1:16" ht="12.75">
      <c r="A70" s="5" t="s">
        <v>220</v>
      </c>
      <c r="B70" s="1" t="s">
        <v>154</v>
      </c>
      <c r="C70" s="1" t="s">
        <v>155</v>
      </c>
      <c r="D70" s="2">
        <v>664613</v>
      </c>
      <c r="E70" s="1" t="s">
        <v>156</v>
      </c>
      <c r="F70" s="14" t="s">
        <v>158</v>
      </c>
      <c r="G70" s="7">
        <f>99*52*0.59</f>
        <v>3037.3199999999997</v>
      </c>
      <c r="H70" s="7">
        <f>99*52*0.39</f>
        <v>2007.72</v>
      </c>
      <c r="I70" s="7">
        <f>99*52*0.02</f>
        <v>102.96000000000001</v>
      </c>
      <c r="J70" s="7"/>
      <c r="K70" s="7"/>
      <c r="L70" s="7"/>
      <c r="M70" s="7"/>
      <c r="N70" s="7"/>
      <c r="O70" s="7"/>
      <c r="P70" s="8"/>
    </row>
    <row r="71" spans="1:16" ht="12.75">
      <c r="A71" s="5" t="s">
        <v>220</v>
      </c>
      <c r="B71" s="1" t="s">
        <v>154</v>
      </c>
      <c r="C71" s="1" t="s">
        <v>155</v>
      </c>
      <c r="D71" s="2">
        <v>664591</v>
      </c>
      <c r="E71" s="1" t="s">
        <v>156</v>
      </c>
      <c r="F71" s="14" t="s">
        <v>157</v>
      </c>
      <c r="G71" s="7">
        <f>710*365*0.11</f>
        <v>28506.5</v>
      </c>
      <c r="H71" s="7">
        <f>710*365*0.34</f>
        <v>88111</v>
      </c>
      <c r="I71" s="7">
        <f>710*365*0.02</f>
        <v>5183</v>
      </c>
      <c r="J71" s="7">
        <f>710*365*0.53</f>
        <v>137349.5</v>
      </c>
      <c r="K71" s="7">
        <v>39</v>
      </c>
      <c r="L71" s="7">
        <v>14</v>
      </c>
      <c r="M71" s="7">
        <v>18</v>
      </c>
      <c r="N71" s="7">
        <v>24</v>
      </c>
      <c r="O71" s="7"/>
      <c r="P71" s="8"/>
    </row>
    <row r="72" spans="1:16" ht="12.75">
      <c r="A72" s="5" t="s">
        <v>220</v>
      </c>
      <c r="B72" s="1" t="s">
        <v>13</v>
      </c>
      <c r="C72" s="1" t="s">
        <v>14</v>
      </c>
      <c r="D72" s="2">
        <v>665127</v>
      </c>
      <c r="E72" s="1" t="s">
        <v>15</v>
      </c>
      <c r="F72" s="14" t="s">
        <v>18</v>
      </c>
      <c r="G72" s="7">
        <f>58*365</f>
        <v>21170</v>
      </c>
      <c r="H72" s="7"/>
      <c r="I72" s="7"/>
      <c r="J72" s="7"/>
      <c r="K72" s="7">
        <v>40</v>
      </c>
      <c r="L72" s="7"/>
      <c r="M72" s="7"/>
      <c r="N72" s="7"/>
      <c r="O72" s="7"/>
      <c r="P72" s="8"/>
    </row>
    <row r="73" spans="1:16" ht="12.75">
      <c r="A73" s="5" t="s">
        <v>220</v>
      </c>
      <c r="B73" s="1" t="s">
        <v>31</v>
      </c>
      <c r="C73" s="1" t="s">
        <v>32</v>
      </c>
      <c r="D73" s="2">
        <v>666582</v>
      </c>
      <c r="E73" s="1" t="s">
        <v>33</v>
      </c>
      <c r="F73" s="14" t="s">
        <v>35</v>
      </c>
      <c r="G73" s="7">
        <f>31*12</f>
        <v>372</v>
      </c>
      <c r="H73" s="7"/>
      <c r="I73" s="7"/>
      <c r="J73" s="7"/>
      <c r="K73" s="7"/>
      <c r="L73" s="7"/>
      <c r="M73" s="7"/>
      <c r="N73" s="7"/>
      <c r="O73" s="7"/>
      <c r="P73" s="8"/>
    </row>
    <row r="74" spans="1:16" ht="12.75">
      <c r="A74" s="5" t="s">
        <v>220</v>
      </c>
      <c r="B74" s="1" t="s">
        <v>36</v>
      </c>
      <c r="C74" s="1" t="s">
        <v>37</v>
      </c>
      <c r="D74" s="2">
        <v>665149</v>
      </c>
      <c r="E74" s="1" t="s">
        <v>38</v>
      </c>
      <c r="F74" s="14" t="s">
        <v>39</v>
      </c>
      <c r="G74" s="7">
        <f>28*365*0.96</f>
        <v>9811.199999999999</v>
      </c>
      <c r="H74" s="7">
        <f>28*365*0.03</f>
        <v>306.59999999999997</v>
      </c>
      <c r="I74" s="7">
        <f>29*365*0.01</f>
        <v>105.85000000000001</v>
      </c>
      <c r="J74" s="7"/>
      <c r="K74" s="7">
        <v>80</v>
      </c>
      <c r="L74" s="7">
        <v>3</v>
      </c>
      <c r="M74" s="7"/>
      <c r="N74" s="7">
        <v>2</v>
      </c>
      <c r="O74" s="7">
        <v>5</v>
      </c>
      <c r="P74" s="8">
        <v>11</v>
      </c>
    </row>
    <row r="75" spans="1:16" ht="12.75">
      <c r="A75" s="5" t="s">
        <v>220</v>
      </c>
      <c r="B75" s="1" t="s">
        <v>79</v>
      </c>
      <c r="C75" s="1" t="s">
        <v>80</v>
      </c>
      <c r="D75" s="2">
        <v>666068</v>
      </c>
      <c r="E75" s="1" t="s">
        <v>81</v>
      </c>
      <c r="F75" s="14" t="s">
        <v>83</v>
      </c>
      <c r="G75" s="7">
        <f>23*52*0.83</f>
        <v>992.68</v>
      </c>
      <c r="H75" s="7">
        <f>23*52*0.16</f>
        <v>191.36</v>
      </c>
      <c r="I75" s="7"/>
      <c r="J75" s="7"/>
      <c r="K75" s="7">
        <v>2</v>
      </c>
      <c r="L75" s="7"/>
      <c r="M75" s="7"/>
      <c r="N75" s="7"/>
      <c r="O75" s="7"/>
      <c r="P75" s="8"/>
    </row>
    <row r="76" spans="1:16" ht="12.75">
      <c r="A76" s="5" t="s">
        <v>220</v>
      </c>
      <c r="B76" s="1" t="s">
        <v>46</v>
      </c>
      <c r="C76" s="1" t="s">
        <v>47</v>
      </c>
      <c r="D76" s="2">
        <v>666090</v>
      </c>
      <c r="E76" s="1" t="s">
        <v>48</v>
      </c>
      <c r="F76" s="14" t="s">
        <v>51</v>
      </c>
      <c r="G76" s="7">
        <f>168*365*0.78</f>
        <v>47829.6</v>
      </c>
      <c r="H76" s="7">
        <f>168*365*0.05</f>
        <v>3066</v>
      </c>
      <c r="I76" s="7">
        <f>168*365*0.01</f>
        <v>613.2</v>
      </c>
      <c r="J76" s="7">
        <f>168*365*0.15</f>
        <v>9198</v>
      </c>
      <c r="K76" s="7">
        <v>92</v>
      </c>
      <c r="L76" s="7">
        <v>31</v>
      </c>
      <c r="M76" s="7"/>
      <c r="N76" s="7">
        <v>3</v>
      </c>
      <c r="O76" s="7">
        <v>3</v>
      </c>
      <c r="P76" s="8"/>
    </row>
    <row r="77" spans="1:16" ht="12.75">
      <c r="A77" s="5" t="s">
        <v>220</v>
      </c>
      <c r="B77" s="1" t="s">
        <v>79</v>
      </c>
      <c r="C77" s="1" t="s">
        <v>80</v>
      </c>
      <c r="D77" s="2">
        <v>665924</v>
      </c>
      <c r="E77" s="1" t="s">
        <v>81</v>
      </c>
      <c r="F77" s="14" t="s">
        <v>82</v>
      </c>
      <c r="G77" s="7">
        <f>170*365*0.6</f>
        <v>37230</v>
      </c>
      <c r="H77" s="7">
        <f>170*365*0.36</f>
        <v>22338</v>
      </c>
      <c r="I77" s="7">
        <f>170*365*0.01</f>
        <v>620.5</v>
      </c>
      <c r="J77" s="7">
        <f>170*365*0.03</f>
        <v>1861.5</v>
      </c>
      <c r="K77" s="7">
        <v>143</v>
      </c>
      <c r="L77" s="7">
        <v>16</v>
      </c>
      <c r="M77" s="7"/>
      <c r="N77" s="7">
        <v>12</v>
      </c>
      <c r="O77" s="7">
        <v>4</v>
      </c>
      <c r="P77" s="8"/>
    </row>
    <row r="78" spans="1:16" ht="12.75">
      <c r="A78" s="5" t="s">
        <v>220</v>
      </c>
      <c r="B78" s="1" t="s">
        <v>135</v>
      </c>
      <c r="C78" s="1" t="s">
        <v>136</v>
      </c>
      <c r="D78" s="2">
        <v>666696</v>
      </c>
      <c r="E78" s="1" t="s">
        <v>137</v>
      </c>
      <c r="F78" s="14" t="s">
        <v>142</v>
      </c>
      <c r="G78" s="7">
        <v>100</v>
      </c>
      <c r="H78" s="7"/>
      <c r="I78" s="7"/>
      <c r="J78" s="7"/>
      <c r="K78" s="7"/>
      <c r="L78" s="7"/>
      <c r="M78" s="7"/>
      <c r="N78" s="7"/>
      <c r="O78" s="7"/>
      <c r="P78" s="8"/>
    </row>
    <row r="79" spans="1:16" ht="12.75">
      <c r="A79" s="5" t="s">
        <v>220</v>
      </c>
      <c r="B79" s="1" t="s">
        <v>53</v>
      </c>
      <c r="C79" s="1" t="s">
        <v>54</v>
      </c>
      <c r="D79" s="2">
        <v>666159</v>
      </c>
      <c r="E79" s="1" t="s">
        <v>55</v>
      </c>
      <c r="F79" s="14" t="s">
        <v>58</v>
      </c>
      <c r="G79" s="7">
        <f>87*365*0.92</f>
        <v>29214.600000000002</v>
      </c>
      <c r="H79" s="7">
        <f>87*365*0.08</f>
        <v>2540.4</v>
      </c>
      <c r="I79" s="7"/>
      <c r="J79" s="7"/>
      <c r="K79" s="7">
        <v>82</v>
      </c>
      <c r="L79" s="7">
        <v>6</v>
      </c>
      <c r="M79" s="7"/>
      <c r="N79" s="7">
        <v>4</v>
      </c>
      <c r="O79" s="7">
        <v>4</v>
      </c>
      <c r="P79" s="8"/>
    </row>
    <row r="80" spans="1:16" ht="12.75">
      <c r="A80" s="5" t="s">
        <v>220</v>
      </c>
      <c r="B80" s="1" t="s">
        <v>13</v>
      </c>
      <c r="C80" s="1" t="s">
        <v>14</v>
      </c>
      <c r="D80" s="2">
        <v>665105</v>
      </c>
      <c r="E80" s="1" t="s">
        <v>15</v>
      </c>
      <c r="F80" s="14" t="s">
        <v>17</v>
      </c>
      <c r="G80" s="7">
        <f>31*365</f>
        <v>11315</v>
      </c>
      <c r="H80" s="7"/>
      <c r="I80" s="7"/>
      <c r="J80" s="7"/>
      <c r="K80" s="7">
        <v>14</v>
      </c>
      <c r="L80" s="7">
        <v>2</v>
      </c>
      <c r="M80" s="7"/>
      <c r="N80" s="7"/>
      <c r="O80" s="7">
        <v>2</v>
      </c>
      <c r="P80" s="8">
        <v>6</v>
      </c>
    </row>
    <row r="81" spans="1:16" ht="12.75">
      <c r="A81" s="5" t="s">
        <v>220</v>
      </c>
      <c r="B81" s="1" t="s">
        <v>129</v>
      </c>
      <c r="C81" s="1" t="s">
        <v>130</v>
      </c>
      <c r="D81" s="2">
        <v>666347</v>
      </c>
      <c r="E81" s="1" t="s">
        <v>131</v>
      </c>
      <c r="F81" s="14" t="s">
        <v>134</v>
      </c>
      <c r="G81" s="7">
        <f>106*0.94</f>
        <v>99.64</v>
      </c>
      <c r="H81" s="7"/>
      <c r="I81" s="7">
        <f>106*0.06</f>
        <v>6.359999999999999</v>
      </c>
      <c r="J81" s="7"/>
      <c r="K81" s="7"/>
      <c r="L81" s="7"/>
      <c r="M81" s="7"/>
      <c r="N81" s="7"/>
      <c r="O81" s="7"/>
      <c r="P81" s="8"/>
    </row>
    <row r="82" spans="1:16" ht="12.75">
      <c r="A82" s="5" t="s">
        <v>220</v>
      </c>
      <c r="B82" s="1" t="s">
        <v>26</v>
      </c>
      <c r="C82" s="1" t="s">
        <v>27</v>
      </c>
      <c r="D82" s="2">
        <v>666605</v>
      </c>
      <c r="E82" s="1" t="s">
        <v>28</v>
      </c>
      <c r="F82" s="14" t="s">
        <v>30</v>
      </c>
      <c r="G82" s="7">
        <f>207*365*0.93</f>
        <v>70266.15000000001</v>
      </c>
      <c r="H82" s="7">
        <f>207*365*0.07</f>
        <v>5288.85</v>
      </c>
      <c r="I82" s="7"/>
      <c r="J82" s="7"/>
      <c r="K82" s="7">
        <v>140</v>
      </c>
      <c r="L82" s="7">
        <v>5</v>
      </c>
      <c r="M82" s="7"/>
      <c r="N82" s="7"/>
      <c r="O82" s="7">
        <v>1</v>
      </c>
      <c r="P82" s="8">
        <v>12</v>
      </c>
    </row>
    <row r="83" spans="1:16" ht="12.75">
      <c r="A83" s="5" t="s">
        <v>220</v>
      </c>
      <c r="B83" s="1" t="s">
        <v>21</v>
      </c>
      <c r="C83" s="1" t="s">
        <v>22</v>
      </c>
      <c r="D83" s="2">
        <v>666674</v>
      </c>
      <c r="E83" s="1" t="s">
        <v>23</v>
      </c>
      <c r="F83" s="14" t="s">
        <v>25</v>
      </c>
      <c r="G83" s="7">
        <f>50*52*0.7</f>
        <v>1819.9999999999998</v>
      </c>
      <c r="H83" s="7">
        <f>50*52*0.15</f>
        <v>390</v>
      </c>
      <c r="I83" s="7">
        <f>50*52*0.15</f>
        <v>390</v>
      </c>
      <c r="J83" s="7"/>
      <c r="K83" s="7"/>
      <c r="L83" s="7"/>
      <c r="M83" s="7"/>
      <c r="N83" s="7"/>
      <c r="O83" s="7"/>
      <c r="P83" s="8"/>
    </row>
    <row r="84" spans="1:16" ht="12.75">
      <c r="A84" s="5"/>
      <c r="B84" s="1" t="s">
        <v>199</v>
      </c>
      <c r="C84" s="1" t="s">
        <v>200</v>
      </c>
      <c r="D84" s="2">
        <v>666137</v>
      </c>
      <c r="E84" s="1" t="s">
        <v>201</v>
      </c>
      <c r="F84" s="14" t="s">
        <v>202</v>
      </c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1:16" ht="12.75">
      <c r="A85" s="5" t="s">
        <v>220</v>
      </c>
      <c r="B85" s="1" t="s">
        <v>122</v>
      </c>
      <c r="C85" s="1" t="s">
        <v>123</v>
      </c>
      <c r="D85" s="2">
        <v>665199</v>
      </c>
      <c r="E85" s="1" t="s">
        <v>124</v>
      </c>
      <c r="F85" s="14" t="s">
        <v>127</v>
      </c>
      <c r="G85" s="7">
        <f>57*52*0.93</f>
        <v>2756.52</v>
      </c>
      <c r="H85" s="7">
        <f>57*52*0.07</f>
        <v>207.48000000000002</v>
      </c>
      <c r="I85" s="7"/>
      <c r="J85" s="7"/>
      <c r="K85" s="7">
        <v>16</v>
      </c>
      <c r="L85" s="7"/>
      <c r="M85" s="7"/>
      <c r="N85" s="7"/>
      <c r="O85" s="7"/>
      <c r="P85" s="8">
        <v>1</v>
      </c>
    </row>
    <row r="86" spans="1:16" ht="12.75">
      <c r="A86" s="5" t="s">
        <v>220</v>
      </c>
      <c r="B86" s="1" t="s">
        <v>104</v>
      </c>
      <c r="C86" s="1" t="s">
        <v>105</v>
      </c>
      <c r="D86" s="2">
        <v>666721</v>
      </c>
      <c r="E86" s="1" t="s">
        <v>106</v>
      </c>
      <c r="F86" s="14" t="s">
        <v>110</v>
      </c>
      <c r="G86" s="7">
        <f>56*0.89</f>
        <v>49.84</v>
      </c>
      <c r="H86" s="7">
        <f>56*0.11</f>
        <v>6.16</v>
      </c>
      <c r="I86" s="7"/>
      <c r="J86" s="7"/>
      <c r="K86" s="7"/>
      <c r="L86" s="7"/>
      <c r="M86" s="7"/>
      <c r="N86" s="7"/>
      <c r="O86" s="7"/>
      <c r="P86" s="8"/>
    </row>
    <row r="87" spans="1:16" ht="12.75">
      <c r="A87" s="5" t="s">
        <v>220</v>
      </c>
      <c r="B87" s="1" t="s">
        <v>46</v>
      </c>
      <c r="C87" s="1" t="s">
        <v>47</v>
      </c>
      <c r="D87" s="2">
        <v>666115</v>
      </c>
      <c r="E87" s="1" t="s">
        <v>48</v>
      </c>
      <c r="F87" s="14" t="s">
        <v>52</v>
      </c>
      <c r="G87" s="7">
        <f>27*52*0.93</f>
        <v>1305.72</v>
      </c>
      <c r="H87" s="7">
        <f>27*52*0.07</f>
        <v>98.28000000000002</v>
      </c>
      <c r="I87" s="7"/>
      <c r="J87" s="7"/>
      <c r="K87" s="7">
        <v>15</v>
      </c>
      <c r="L87" s="7">
        <v>2</v>
      </c>
      <c r="M87" s="7"/>
      <c r="N87" s="7"/>
      <c r="O87" s="7"/>
      <c r="P87" s="8"/>
    </row>
    <row r="88" spans="1:16" ht="12.75">
      <c r="A88" s="5" t="s">
        <v>220</v>
      </c>
      <c r="B88" s="1" t="s">
        <v>193</v>
      </c>
      <c r="C88" s="1" t="s">
        <v>194</v>
      </c>
      <c r="D88" s="2">
        <v>666774</v>
      </c>
      <c r="E88" s="1" t="s">
        <v>195</v>
      </c>
      <c r="F88" s="14" t="s">
        <v>198</v>
      </c>
      <c r="G88" s="7">
        <f>38*52</f>
        <v>1976</v>
      </c>
      <c r="H88" s="7"/>
      <c r="I88" s="7"/>
      <c r="J88" s="7"/>
      <c r="K88" s="7"/>
      <c r="L88" s="7"/>
      <c r="M88" s="7"/>
      <c r="N88" s="7"/>
      <c r="O88" s="7"/>
      <c r="P88" s="8"/>
    </row>
    <row r="89" spans="1:16" ht="12.75">
      <c r="A89" s="5" t="s">
        <v>220</v>
      </c>
      <c r="B89" s="1" t="s">
        <v>199</v>
      </c>
      <c r="C89" s="1" t="s">
        <v>200</v>
      </c>
      <c r="D89" s="2">
        <v>665252</v>
      </c>
      <c r="E89" s="1" t="s">
        <v>201</v>
      </c>
      <c r="F89" s="14" t="s">
        <v>203</v>
      </c>
      <c r="G89" s="7">
        <f>32*365</f>
        <v>11680</v>
      </c>
      <c r="H89" s="7"/>
      <c r="I89" s="7"/>
      <c r="J89" s="7"/>
      <c r="K89" s="7">
        <v>45</v>
      </c>
      <c r="L89" s="7">
        <v>1</v>
      </c>
      <c r="M89" s="7"/>
      <c r="N89" s="7"/>
      <c r="O89" s="7">
        <v>7</v>
      </c>
      <c r="P89" s="8"/>
    </row>
    <row r="90" spans="1:16" ht="12.75">
      <c r="A90" s="5" t="s">
        <v>220</v>
      </c>
      <c r="B90" s="1" t="s">
        <v>193</v>
      </c>
      <c r="C90" s="1" t="s">
        <v>194</v>
      </c>
      <c r="D90" s="2">
        <v>664497</v>
      </c>
      <c r="E90" s="1" t="s">
        <v>195</v>
      </c>
      <c r="F90" s="14" t="s">
        <v>196</v>
      </c>
      <c r="G90" s="7">
        <f>61*365</f>
        <v>22265</v>
      </c>
      <c r="H90" s="7"/>
      <c r="I90" s="7"/>
      <c r="J90" s="7"/>
      <c r="K90" s="7">
        <v>107</v>
      </c>
      <c r="L90" s="7">
        <v>1</v>
      </c>
      <c r="M90" s="7"/>
      <c r="N90" s="7"/>
      <c r="O90" s="7">
        <v>4</v>
      </c>
      <c r="P90" s="8">
        <v>1</v>
      </c>
    </row>
    <row r="91" spans="1:16" ht="12.75">
      <c r="A91" s="5" t="s">
        <v>220</v>
      </c>
      <c r="B91" s="1" t="s">
        <v>46</v>
      </c>
      <c r="C91" s="1" t="s">
        <v>47</v>
      </c>
      <c r="D91" s="2">
        <v>665738</v>
      </c>
      <c r="E91" s="1" t="s">
        <v>48</v>
      </c>
      <c r="F91" s="14" t="s">
        <v>50</v>
      </c>
      <c r="G91" s="7">
        <f>45*365*0.88</f>
        <v>14454</v>
      </c>
      <c r="H91" s="7">
        <f>45*365*0.12</f>
        <v>1971</v>
      </c>
      <c r="I91" s="7"/>
      <c r="J91" s="7"/>
      <c r="K91" s="7">
        <v>36</v>
      </c>
      <c r="L91" s="7">
        <v>10</v>
      </c>
      <c r="M91" s="7"/>
      <c r="N91" s="7">
        <v>1</v>
      </c>
      <c r="O91" s="7">
        <v>1</v>
      </c>
      <c r="P91" s="8"/>
    </row>
    <row r="92" spans="1:16" ht="12.75">
      <c r="A92" s="5" t="s">
        <v>220</v>
      </c>
      <c r="B92" s="1" t="s">
        <v>168</v>
      </c>
      <c r="C92" s="1" t="s">
        <v>169</v>
      </c>
      <c r="D92" s="2">
        <v>664801</v>
      </c>
      <c r="E92" s="1" t="s">
        <v>170</v>
      </c>
      <c r="F92" s="14" t="s">
        <v>171</v>
      </c>
      <c r="G92" s="7">
        <f>73*365*0.95</f>
        <v>25312.75</v>
      </c>
      <c r="H92" s="7">
        <f>73*365*0.03</f>
        <v>799.35</v>
      </c>
      <c r="I92" s="7">
        <f>73*365*0.02</f>
        <v>532.9</v>
      </c>
      <c r="J92" s="7"/>
      <c r="K92" s="7">
        <v>42</v>
      </c>
      <c r="L92" s="7">
        <v>1</v>
      </c>
      <c r="M92" s="7"/>
      <c r="N92" s="7"/>
      <c r="O92" s="7"/>
      <c r="P92" s="8"/>
    </row>
    <row r="93" spans="1:16" ht="12.75">
      <c r="A93" s="5" t="s">
        <v>220</v>
      </c>
      <c r="B93" s="1" t="s">
        <v>53</v>
      </c>
      <c r="C93" s="1" t="s">
        <v>54</v>
      </c>
      <c r="D93" s="2">
        <v>666212</v>
      </c>
      <c r="E93" s="1" t="s">
        <v>55</v>
      </c>
      <c r="F93" s="14" t="s">
        <v>57</v>
      </c>
      <c r="G93" s="7">
        <f>29*12</f>
        <v>348</v>
      </c>
      <c r="H93" s="7"/>
      <c r="I93" s="7"/>
      <c r="J93" s="7"/>
      <c r="K93" s="7"/>
      <c r="L93" s="7"/>
      <c r="M93" s="7"/>
      <c r="N93" s="7"/>
      <c r="O93" s="7"/>
      <c r="P93" s="8"/>
    </row>
    <row r="94" spans="1:16" ht="12.75">
      <c r="A94" s="5" t="s">
        <v>220</v>
      </c>
      <c r="B94" s="1" t="s">
        <v>122</v>
      </c>
      <c r="C94" s="1" t="s">
        <v>123</v>
      </c>
      <c r="D94" s="2">
        <v>665996</v>
      </c>
      <c r="E94" s="1" t="s">
        <v>124</v>
      </c>
      <c r="F94" s="14" t="s">
        <v>128</v>
      </c>
      <c r="G94" s="7">
        <f>22*52</f>
        <v>1144</v>
      </c>
      <c r="H94" s="7"/>
      <c r="I94" s="7"/>
      <c r="J94" s="7"/>
      <c r="K94" s="7">
        <v>4</v>
      </c>
      <c r="L94" s="7"/>
      <c r="M94" s="7"/>
      <c r="N94" s="7"/>
      <c r="O94" s="7"/>
      <c r="P94" s="8">
        <v>2</v>
      </c>
    </row>
    <row r="95" spans="1:16" ht="12.75">
      <c r="A95" s="5" t="s">
        <v>220</v>
      </c>
      <c r="B95" s="1" t="s">
        <v>154</v>
      </c>
      <c r="C95" s="1" t="s">
        <v>155</v>
      </c>
      <c r="D95" s="2">
        <v>664663</v>
      </c>
      <c r="E95" s="1" t="s">
        <v>156</v>
      </c>
      <c r="F95" s="14" t="s">
        <v>159</v>
      </c>
      <c r="G95" s="7">
        <f>288*365*0.95</f>
        <v>99864</v>
      </c>
      <c r="H95" s="7">
        <f>288*365*0.04</f>
        <v>4204.8</v>
      </c>
      <c r="I95" s="7">
        <f>288*365*0.01</f>
        <v>1051.2</v>
      </c>
      <c r="J95" s="7"/>
      <c r="K95" s="7">
        <v>177</v>
      </c>
      <c r="L95" s="7">
        <v>14</v>
      </c>
      <c r="M95" s="7"/>
      <c r="N95" s="7">
        <v>3</v>
      </c>
      <c r="O95" s="7">
        <v>2</v>
      </c>
      <c r="P95" s="8"/>
    </row>
    <row r="96" spans="1:16" ht="12.75">
      <c r="A96" s="5" t="s">
        <v>220</v>
      </c>
      <c r="B96" s="1" t="s">
        <v>13</v>
      </c>
      <c r="C96" s="1" t="s">
        <v>14</v>
      </c>
      <c r="D96" s="2">
        <v>666796</v>
      </c>
      <c r="E96" s="1" t="s">
        <v>15</v>
      </c>
      <c r="F96" s="14" t="s">
        <v>20</v>
      </c>
      <c r="G96" s="7">
        <f>57*52</f>
        <v>2964</v>
      </c>
      <c r="H96" s="7"/>
      <c r="I96" s="7"/>
      <c r="J96" s="7"/>
      <c r="K96" s="7">
        <v>28</v>
      </c>
      <c r="L96" s="7">
        <v>4</v>
      </c>
      <c r="M96" s="7"/>
      <c r="N96" s="7"/>
      <c r="O96" s="7">
        <v>1</v>
      </c>
      <c r="P96" s="8"/>
    </row>
    <row r="97" spans="1:16" ht="12.75">
      <c r="A97" s="5" t="s">
        <v>220</v>
      </c>
      <c r="B97" s="1" t="s">
        <v>26</v>
      </c>
      <c r="C97" s="1" t="s">
        <v>27</v>
      </c>
      <c r="D97" s="2">
        <v>665849</v>
      </c>
      <c r="E97" s="1" t="s">
        <v>28</v>
      </c>
      <c r="F97" s="14" t="s">
        <v>29</v>
      </c>
      <c r="G97" s="7">
        <f>57*52</f>
        <v>2964</v>
      </c>
      <c r="H97" s="7"/>
      <c r="I97" s="7"/>
      <c r="J97" s="7"/>
      <c r="K97" s="7">
        <v>5</v>
      </c>
      <c r="L97" s="7"/>
      <c r="M97" s="7"/>
      <c r="N97" s="7"/>
      <c r="O97" s="7"/>
      <c r="P97" s="8"/>
    </row>
    <row r="98" spans="1:16" ht="12.75">
      <c r="A98" s="5" t="s">
        <v>220</v>
      </c>
      <c r="B98" s="1" t="s">
        <v>122</v>
      </c>
      <c r="C98" s="1" t="s">
        <v>123</v>
      </c>
      <c r="D98" s="2">
        <v>664460</v>
      </c>
      <c r="E98" s="1" t="s">
        <v>124</v>
      </c>
      <c r="F98" s="14" t="s">
        <v>125</v>
      </c>
      <c r="G98" s="7">
        <f>69*12</f>
        <v>828</v>
      </c>
      <c r="H98" s="7"/>
      <c r="I98" s="7"/>
      <c r="J98" s="7"/>
      <c r="K98" s="7">
        <v>2</v>
      </c>
      <c r="L98" s="7"/>
      <c r="M98" s="7"/>
      <c r="N98" s="7"/>
      <c r="O98" s="7"/>
      <c r="P98" s="8">
        <v>1</v>
      </c>
    </row>
    <row r="99" spans="1:16" ht="12.75">
      <c r="A99" s="5" t="s">
        <v>220</v>
      </c>
      <c r="B99" s="1" t="s">
        <v>164</v>
      </c>
      <c r="C99" s="1" t="s">
        <v>165</v>
      </c>
      <c r="D99" s="2">
        <v>666369</v>
      </c>
      <c r="E99" s="1" t="s">
        <v>166</v>
      </c>
      <c r="F99" s="14" t="s">
        <v>167</v>
      </c>
      <c r="G99" s="7">
        <f>46*52*0.98</f>
        <v>2344.16</v>
      </c>
      <c r="H99" s="7">
        <f>46*52*0.02</f>
        <v>47.84</v>
      </c>
      <c r="I99" s="7"/>
      <c r="J99" s="7"/>
      <c r="K99" s="7">
        <v>5</v>
      </c>
      <c r="L99" s="7"/>
      <c r="M99" s="7"/>
      <c r="N99" s="7"/>
      <c r="O99" s="7"/>
      <c r="P99" s="8"/>
    </row>
    <row r="100" spans="1:16" ht="12.75">
      <c r="A100" s="5" t="s">
        <v>220</v>
      </c>
      <c r="B100" s="6" t="s">
        <v>112</v>
      </c>
      <c r="C100" s="1" t="s">
        <v>113</v>
      </c>
      <c r="D100" s="18"/>
      <c r="E100" s="1" t="s">
        <v>114</v>
      </c>
      <c r="F100" s="15" t="s">
        <v>212</v>
      </c>
      <c r="G100" s="7">
        <f>100</f>
        <v>100</v>
      </c>
      <c r="H100" s="7"/>
      <c r="I100" s="7"/>
      <c r="J100" s="7"/>
      <c r="K100" s="7"/>
      <c r="L100" s="7"/>
      <c r="M100" s="7"/>
      <c r="N100" s="7"/>
      <c r="O100" s="7"/>
      <c r="P100" s="8"/>
    </row>
  </sheetData>
  <sheetProtection password="819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cswab</dc:creator>
  <cp:keywords/>
  <dc:description/>
  <cp:lastModifiedBy>C Swab</cp:lastModifiedBy>
  <dcterms:created xsi:type="dcterms:W3CDTF">2007-03-22T17:25:46Z</dcterms:created>
  <dcterms:modified xsi:type="dcterms:W3CDTF">2012-01-20T19:10:31Z</dcterms:modified>
  <cp:category/>
  <cp:version/>
  <cp:contentType/>
  <cp:contentStatus/>
</cp:coreProperties>
</file>